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7B8C3A5A-220A-46B2-9D14-EB986BD4256B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Schweiz" sheetId="28" r:id="rId1"/>
    <sheet name="Graubünden" sheetId="27" r:id="rId2"/>
    <sheet name="Uebersetzungen" sheetId="2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27" l="1"/>
  <c r="A47" i="27"/>
  <c r="A46" i="27"/>
  <c r="A45" i="27"/>
  <c r="A46" i="28"/>
  <c r="A45" i="28"/>
  <c r="A44" i="28"/>
  <c r="H14" i="27"/>
  <c r="G14" i="27"/>
  <c r="F14" i="27"/>
  <c r="E14" i="27"/>
  <c r="D14" i="27"/>
  <c r="C14" i="27"/>
  <c r="G13" i="27"/>
  <c r="E13" i="27"/>
  <c r="C13" i="27"/>
  <c r="A10" i="27"/>
  <c r="A9" i="27"/>
  <c r="A9" i="28"/>
  <c r="A7" i="27"/>
  <c r="A7" i="28"/>
  <c r="A51" i="27"/>
  <c r="A50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6" i="27"/>
  <c r="B17" i="27"/>
  <c r="A16" i="27"/>
  <c r="A41" i="27"/>
  <c r="A30" i="27"/>
  <c r="A27" i="27"/>
  <c r="A25" i="27"/>
  <c r="A23" i="27"/>
  <c r="A18" i="27"/>
  <c r="A15" i="27"/>
  <c r="G14" i="28"/>
  <c r="F14" i="28"/>
  <c r="E14" i="28"/>
  <c r="D14" i="28"/>
  <c r="C14" i="28"/>
  <c r="B14" i="28"/>
  <c r="F13" i="28" l="1"/>
  <c r="D13" i="28"/>
  <c r="B13" i="28"/>
  <c r="A49" i="28"/>
  <c r="A48" i="28"/>
  <c r="A43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<sst xmlns="http://schemas.openxmlformats.org/spreadsheetml/2006/main" count="354" uniqueCount="302">
  <si>
    <t>Total</t>
  </si>
  <si>
    <t>Schweizer mit weiterer Staatsangehörigkeit</t>
  </si>
  <si>
    <t>Schweizer ohne weitere Staatsangehörigkeit</t>
  </si>
  <si>
    <t>Anzahl Personen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</si>
  <si>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</si>
  <si>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</si>
  <si>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</si>
  <si>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</si>
  <si>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</si>
  <si>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</si>
  <si>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</si>
  <si>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</si>
  <si>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</si>
  <si>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</si>
  <si>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</si>
  <si>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</si>
  <si>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</si>
  <si>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</si>
  <si>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</si>
  <si>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</si>
  <si>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</si>
  <si>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</si>
  <si>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</si>
  <si>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</si>
  <si>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</si>
  <si>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</si>
  <si>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</si>
  <si>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</si>
  <si>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</si>
  <si>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</si>
  <si>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Arbeitsmarktstatus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</si>
  <si>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</si>
  <si>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</si>
  <si>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</si>
  <si>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</si>
  <si>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</si>
  <si>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</si>
  <si>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</si>
  <si>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</si>
  <si>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</si>
  <si>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</si>
  <si>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</si>
  <si>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Ungelernte Angestellte und Arbeiter</t>
  </si>
  <si>
    <t>Lernende in dualer beruflicher Grundbildung (Lehrlinge)</t>
  </si>
  <si>
    <t>Nicht zuteilbare Erwerbstätige (fehlende oder unklare Basisdaten oder unplausible Kombination)</t>
  </si>
  <si>
    <t>Erwerbslose und Nichterwerbspersonen</t>
  </si>
  <si>
    <t>Höchste abgeschlossene Ausbildung</t>
  </si>
  <si>
    <t>Obligatorische Schule</t>
  </si>
  <si>
    <t>Sekundarstufe II</t>
  </si>
  <si>
    <t>Tertiärstufe</t>
  </si>
  <si>
    <t>15-19</t>
  </si>
  <si>
    <t>20-39</t>
  </si>
  <si>
    <t>40-64</t>
  </si>
  <si>
    <t>65-79</t>
  </si>
  <si>
    <t>Geburtsort</t>
  </si>
  <si>
    <t>In der Schweiz</t>
  </si>
  <si>
    <t>Im Ausland</t>
  </si>
  <si>
    <t>Einbürgerung</t>
  </si>
  <si>
    <t>Eingebürgert</t>
  </si>
  <si>
    <t>Nicht eingebürgert</t>
  </si>
  <si>
    <t>Ständige schweizerische Wohnbevölkerung ab 15 Jahren</t>
  </si>
  <si>
    <t>Quelle: BFS (Strukturerhebung)</t>
  </si>
  <si>
    <t>Bern</t>
  </si>
  <si>
    <t>Freiburg</t>
  </si>
  <si>
    <t>Graubünden</t>
  </si>
  <si>
    <t>Wallis</t>
  </si>
  <si>
    <t>Tessin</t>
  </si>
  <si>
    <t>Waadt</t>
  </si>
  <si>
    <t>Neuenburg</t>
  </si>
  <si>
    <t>Genf</t>
  </si>
  <si>
    <t>80 und älter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</si>
  <si>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</si>
  <si>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</si>
  <si>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</si>
  <si>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</si>
  <si>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</si>
  <si>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</si>
  <si>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</si>
  <si>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</si>
  <si>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</si>
  <si>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</si>
  <si>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</si>
  <si>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</si>
  <si>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</si>
  <si>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</si>
  <si>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</si>
  <si>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</si>
  <si>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</si>
  <si>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</si>
  <si>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</si>
  <si>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</si>
  <si>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</si>
  <si>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</si>
  <si>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</si>
  <si>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</si>
  <si>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</si>
  <si>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</si>
  <si>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</si>
  <si>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</si>
  <si>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</si>
  <si>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</si>
  <si>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</si>
  <si>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</si>
  <si>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</si>
  <si>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</si>
  <si>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</si>
  <si>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</si>
  <si>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</si>
  <si>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</si>
  <si>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</si>
  <si>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</si>
  <si>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</si>
  <si>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</si>
  <si>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</si>
  <si>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</si>
  <si>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</si>
  <si>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</si>
  <si>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</si>
  <si>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</si>
  <si>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&lt;Quelle_1&gt;</t>
  </si>
  <si>
    <t>T1-2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</si>
  <si>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</si>
  <si>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</si>
  <si>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</si>
  <si>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</si>
  <si>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</si>
  <si>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</si>
  <si>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</si>
  <si>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</si>
  <si>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</si>
  <si>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</si>
  <si>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&lt;SpaltenTitel_1.1&gt;</t>
  </si>
  <si>
    <t>&lt;SpaltenTitel_1.2&gt;</t>
  </si>
  <si>
    <t>&lt;SpaltenTitel_2.1&gt;</t>
  </si>
  <si>
    <t>&lt;SpaltenTitel_2.2&gt;</t>
  </si>
  <si>
    <t>&lt;SpaltenTitel_3.1&gt;</t>
  </si>
  <si>
    <t>&lt;SpaltenTitel_3.2&gt;</t>
  </si>
  <si>
    <t>&lt;T2Zeilentitel_2.1&gt;</t>
  </si>
  <si>
    <t>&lt;T2Zeilentitel_2.2&gt;</t>
  </si>
  <si>
    <t>&lt;T2Zeilentitel_3.1&gt;</t>
  </si>
  <si>
    <t>&lt;T2Zeilentitel_3.2&gt;</t>
  </si>
  <si>
    <t>&lt;T2Zeilentitel_4.1&gt;</t>
  </si>
  <si>
    <t>&lt;T2Zeilentitel_4.2&gt;</t>
  </si>
  <si>
    <t>&lt;T2Zeilentitel_5.1&gt;</t>
  </si>
  <si>
    <t>&lt;T2Zeilentitel_5.2&gt;</t>
  </si>
  <si>
    <t>&lt;T2Zeilentitel_6.1&gt;</t>
  </si>
  <si>
    <t>&lt;T2Zeilentitel_6.2&gt;</t>
  </si>
  <si>
    <t>&lt;T2Zeilentitel_6.3&gt;</t>
  </si>
  <si>
    <t>&lt;T2Zeilentitel_7.1&gt;</t>
  </si>
  <si>
    <t>&lt;T2Zeilentitel_7.2&gt;</t>
  </si>
  <si>
    <t>&lt;T2Zeilentitel_7.3&gt;</t>
  </si>
  <si>
    <t>&lt;T2Zeilentitel_8&gt;</t>
  </si>
  <si>
    <t>&lt;T2Zeilentitel_3.3&gt;</t>
  </si>
  <si>
    <t>&lt;T2Zeilentitel_3.4&gt;</t>
  </si>
  <si>
    <t>&lt;T2Zeilentitel_3.5&gt;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</si>
  <si>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</si>
  <si>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</si>
  <si>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</si>
  <si>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</si>
  <si>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</si>
  <si>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</si>
  <si>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</si>
  <si>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</si>
  <si>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&lt;T2Zeilentitel_8.1&gt;</t>
  </si>
  <si>
    <t>&lt;T2Zeilentitel_8.2&gt;</t>
  </si>
  <si>
    <t>&lt;T2Zeilentitel_8.3&gt;</t>
  </si>
  <si>
    <t>&lt;T2Aktualisierung&gt;</t>
  </si>
  <si>
    <t>Totale</t>
  </si>
  <si>
    <t>Svizzeri/e con un'altra cittadinanza</t>
  </si>
  <si>
    <t>Svizzeri/e che non hanno un'altra cittadinanza</t>
  </si>
  <si>
    <t>Numero di persone</t>
  </si>
  <si>
    <t>(): Estrapolazione basata su meno di 50 osservazioni. I risultati sono da interpretare con molta precauzione.</t>
  </si>
  <si>
    <t>X : Estrapolazione basata su meno di 5 osservazioni. I risultati non sono pubblicati per ragioni legate alla protezione dei dati.</t>
  </si>
  <si>
    <t>L'universo di base della rilevazione strutturale comprende tutte le persone facenti parte della popolazione residente permanente di 15 anni e più che vivono in un'economia domestica.</t>
  </si>
  <si>
    <t>Sono esclusi diplomatici, i funzionari internazionali ed i loro familiari e le persone che vivono in una collettività.</t>
  </si>
  <si>
    <t>Fonte: UST - Rilevazione strutturale (RS)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</si>
  <si>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</si>
  <si>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</si>
  <si>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</si>
  <si>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</si>
  <si>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</si>
  <si>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</si>
  <si>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</si>
  <si>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</si>
  <si>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Friborgo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</si>
  <si>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</si>
  <si>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</si>
  <si>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</si>
  <si>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</si>
  <si>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</si>
  <si>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</si>
  <si>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</si>
  <si>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</si>
  <si>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</si>
  <si>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</si>
  <si>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Ticino</t>
  </si>
  <si>
    <t>Vaud</t>
  </si>
  <si>
    <t>Vallese</t>
  </si>
  <si>
    <t>Neuchâtel</t>
  </si>
  <si>
    <t>Ginevra</t>
  </si>
  <si>
    <t>Giura</t>
  </si>
  <si>
    <t>Popolazione residente permanente svizzera di 15 anni e più</t>
  </si>
  <si>
    <t>Sesso</t>
  </si>
  <si>
    <t>Età</t>
  </si>
  <si>
    <t>Luogo di nascita</t>
  </si>
  <si>
    <t>Naturalizzazione</t>
  </si>
  <si>
    <t>Posizione nel mercato del lavoro</t>
  </si>
  <si>
    <t>Categorie socio-professionali</t>
  </si>
  <si>
    <t>Formazione più elevata conclusa</t>
  </si>
  <si>
    <t>Uomini</t>
  </si>
  <si>
    <t>Donne</t>
  </si>
  <si>
    <t>80 e più</t>
  </si>
  <si>
    <t>In Svizzera</t>
  </si>
  <si>
    <t>All'estero</t>
  </si>
  <si>
    <t>Naturalizzati</t>
  </si>
  <si>
    <t>Non naturalizzati</t>
  </si>
  <si>
    <t>Occupati</t>
  </si>
  <si>
    <t>Disoccupati</t>
  </si>
  <si>
    <t>Persone senza attività professionale</t>
  </si>
  <si>
    <t>Management superiore</t>
  </si>
  <si>
    <t>Professioni liberali ed equiparate</t>
  </si>
  <si>
    <t>Altri indipendenti</t>
  </si>
  <si>
    <t>Professioni accademiche e quadri superiori</t>
  </si>
  <si>
    <t>Professioni intermediarie</t>
  </si>
  <si>
    <t>Professioni qualificate non manuali</t>
  </si>
  <si>
    <t>Professioni qualificate manuali</t>
  </si>
  <si>
    <t>Impiegati e operai non qualificati</t>
  </si>
  <si>
    <t>Persone in formazione professionale di base duale (apprendisti)</t>
  </si>
  <si>
    <t>Occupati non attribuibili (dati di base mancanti)</t>
  </si>
  <si>
    <t>Disoccupati e persone senza attività professionale</t>
  </si>
  <si>
    <t>Senza formazione postobbligatoria</t>
  </si>
  <si>
    <t>Livello secondario II</t>
  </si>
  <si>
    <t>Livello terziario</t>
  </si>
  <si>
    <t>Intervallo di confidenza: ± (in %)</t>
  </si>
  <si>
    <t>Sviz</t>
  </si>
  <si>
    <t>Soloturn</t>
  </si>
  <si>
    <t>Friburg</t>
  </si>
  <si>
    <t>Glaruna</t>
  </si>
  <si>
    <t>Schaffusa</t>
  </si>
  <si>
    <t>Sutsilvania</t>
  </si>
  <si>
    <t>Sursilvania</t>
  </si>
  <si>
    <t>Turitg</t>
  </si>
  <si>
    <t>Basilea-Citad</t>
  </si>
  <si>
    <t>Basilea-Champagna</t>
  </si>
  <si>
    <t>Appenzell Dadora</t>
  </si>
  <si>
    <t>Appenzell Dadens</t>
  </si>
  <si>
    <t>Son Gagl</t>
  </si>
  <si>
    <t>Genevra</t>
  </si>
  <si>
    <t>Vallais</t>
  </si>
  <si>
    <t>Vad</t>
  </si>
  <si>
    <t>Grischun</t>
  </si>
  <si>
    <t>Umens</t>
  </si>
  <si>
    <t>Dunnas</t>
  </si>
  <si>
    <t>Gender</t>
  </si>
  <si>
    <t>Vegliadetgna</t>
  </si>
  <si>
    <t>Lieu nativ</t>
  </si>
  <si>
    <t>Natiralisaziun</t>
  </si>
  <si>
    <t>Status dal martgà da lavur</t>
  </si>
  <si>
    <t>Categorias socioprofessiunalas</t>
  </si>
  <si>
    <t>La pli auta scolaziun terminada</t>
  </si>
  <si>
    <t>Populaziun residenta permanenta da la Svizra a partir da 15 onns</t>
  </si>
  <si>
    <t>80 e dapli</t>
  </si>
  <si>
    <t>En Svizra</t>
  </si>
  <si>
    <t>A l'ester</t>
  </si>
  <si>
    <t>Professiuns libras ed egualas</t>
  </si>
  <si>
    <t>Autras persunas independentas</t>
  </si>
  <si>
    <t>Professiuns academicas e cader superiur</t>
  </si>
  <si>
    <t>professiuns intermediaras</t>
  </si>
  <si>
    <t>Professiuns betg manualas qualifitgadas</t>
  </si>
  <si>
    <t>Professiuns manualas qualifitgadas</t>
  </si>
  <si>
    <t>Emploiads e lavurants betg emprendids</t>
  </si>
  <si>
    <t>Emprendistas ed emprendists en ina furmaziun fundamentala professiunala dubla (emprendists)</t>
  </si>
  <si>
    <t>Persunas cun activitad da gudogn che n'èn betg attribuiblas (datas da basa mancantas u betg cleras u ina cumbinaziun inclausibla)</t>
  </si>
  <si>
    <t>Persunas senza activitad da gudogn e persunas senza activitad da gudogn</t>
  </si>
  <si>
    <t>Scola obligatorica</t>
  </si>
  <si>
    <t>Stgalim secundar II</t>
  </si>
  <si>
    <t>Stgalim terziar</t>
  </si>
  <si>
    <t>Management suprem</t>
  </si>
  <si>
    <t>Persunas senza activitad da gudogn</t>
  </si>
  <si>
    <t>Persunas cun activitad da gudogn</t>
  </si>
  <si>
    <t>Nunnatiralisà</t>
  </si>
  <si>
    <t>Natiralisà</t>
  </si>
  <si>
    <t>(): Extrapolaziun sin basa da 49 u damain observaziuns. Ils resultats ston vegnir interpretads cun gronda precauziun.</t>
  </si>
  <si>
    <t>X: Extrapolaziun pervia da 4 u damain observaziuns. Per motivs da la protecziun da datas na vegnan ils resultats betg publitgads.</t>
  </si>
  <si>
    <t>La survista da basa da l'enquista da structura cumpiglia tut las persunas da la populaziun residenta permanenta a partir da 15 onns che vivan en chasadas privatas.</t>
  </si>
  <si>
    <t>Exclus da la totalitad fundamentala èn vegnids ultra da las persunas che vivan en chasadas collectivas er diplomats, funcziunaris internaziunals e lur confamigliars.</t>
  </si>
  <si>
    <t>Vertrauens- intervall: ± (in %)</t>
  </si>
  <si>
    <t>Interval da confidenza: ± (en %)</t>
  </si>
  <si>
    <t>Dumber da persunas</t>
  </si>
  <si>
    <t>Svizras e Svizzers cun in'ulteriura naziunalitad</t>
  </si>
  <si>
    <t>Svizzers senza ulteriura naziunalitad</t>
  </si>
  <si>
    <t>Funtauna: UST (enquista da structura)</t>
  </si>
  <si>
    <t>Doppelbürgerschaft nach soziodemografischen Merkmalen und Kanton</t>
  </si>
  <si>
    <t>Natiralisaziun dubla tenor caracteristicas sociodemograficas e tenor il chantun</t>
  </si>
  <si>
    <t>Doppia cittadinanza secondo diverse caratteristiche socio-demografiche e il Cantone</t>
  </si>
  <si>
    <t>Doppelbürgerschaft nach soziodemografischen Merkmalen im Kanton Graubünden</t>
  </si>
  <si>
    <t>Natiralisaziun dubla tenor caracteristicas sociodemograficas en il chantun Grischun</t>
  </si>
  <si>
    <t>Doppia cittadinanza secondo diverse caratteristiche socio-demografiche nel Cantone dei Grigioni</t>
  </si>
  <si>
    <t>Ulimo aggiornamento: 29.01.2026</t>
  </si>
  <si>
    <t>Ultima actualisaziun: 29.01.2026</t>
  </si>
  <si>
    <t>Letztmals aktualisiert am: 29.01.2026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</si>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</sst>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* #,###"/>
    <numFmt numFmtId="171" formatCode="\(##0\)"/>
    <numFmt numFmtId="172" formatCode="\(#\'##0\)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4C4C4C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113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1" fillId="3" borderId="0" xfId="0" applyFont="1" applyFill="1" applyAlignment="1">
      <alignment horizontal="left" vertical="center"/>
    </xf>
    <xf numFmtId="0" fontId="2" fillId="2" borderId="0" xfId="0" applyFont="1" applyFill="1"/>
    <xf numFmtId="3" fontId="2" fillId="0" borderId="0" xfId="0" applyNumberFormat="1" applyFont="1"/>
    <xf numFmtId="169" fontId="2" fillId="0" borderId="0" xfId="0" applyNumberFormat="1" applyFont="1"/>
    <xf numFmtId="0" fontId="2" fillId="0" borderId="0" xfId="0" applyFont="1" applyAlignment="1">
      <alignment horizontal="left" vertical="top"/>
    </xf>
    <xf numFmtId="0" fontId="0" fillId="4" borderId="0" xfId="0" applyFill="1"/>
    <xf numFmtId="1" fontId="3" fillId="4" borderId="0" xfId="0" applyNumberFormat="1" applyFont="1" applyFill="1"/>
    <xf numFmtId="0" fontId="14" fillId="4" borderId="0" xfId="0" applyFont="1" applyFill="1"/>
    <xf numFmtId="0" fontId="11" fillId="3" borderId="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 wrapText="1"/>
    </xf>
    <xf numFmtId="3" fontId="3" fillId="5" borderId="13" xfId="3" applyNumberFormat="1" applyFont="1" applyFill="1" applyBorder="1" applyAlignment="1" applyProtection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wrapText="1"/>
    </xf>
    <xf numFmtId="0" fontId="2" fillId="0" borderId="0" xfId="0" applyFont="1" applyBorder="1"/>
    <xf numFmtId="169" fontId="3" fillId="4" borderId="0" xfId="1" applyNumberFormat="1" applyFont="1" applyFill="1" applyBorder="1" applyAlignment="1" applyProtection="1">
      <alignment horizontal="right" vertical="center" wrapText="1"/>
    </xf>
    <xf numFmtId="167" fontId="3" fillId="4" borderId="0" xfId="1" applyNumberFormat="1" applyFont="1" applyFill="1" applyBorder="1" applyAlignment="1" applyProtection="1">
      <alignment horizontal="right" vertical="center" wrapText="1"/>
    </xf>
    <xf numFmtId="1" fontId="3" fillId="4" borderId="0" xfId="1" applyNumberFormat="1" applyFont="1" applyFill="1" applyBorder="1" applyAlignment="1" applyProtection="1">
      <alignment horizontal="right" vertical="center" wrapText="1"/>
    </xf>
    <xf numFmtId="0" fontId="12" fillId="3" borderId="23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12" fillId="3" borderId="13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top"/>
    </xf>
    <xf numFmtId="0" fontId="2" fillId="0" borderId="13" xfId="0" applyFont="1" applyBorder="1"/>
    <xf numFmtId="0" fontId="2" fillId="0" borderId="14" xfId="0" applyFont="1" applyBorder="1"/>
    <xf numFmtId="0" fontId="11" fillId="3" borderId="2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167" fontId="3" fillId="5" borderId="5" xfId="3" applyNumberFormat="1" applyFont="1" applyFill="1" applyBorder="1" applyAlignment="1" applyProtection="1">
      <alignment horizontal="right" vertical="center" wrapText="1"/>
    </xf>
    <xf numFmtId="3" fontId="3" fillId="5" borderId="4" xfId="3" applyNumberFormat="1" applyFont="1" applyFill="1" applyBorder="1" applyAlignment="1" applyProtection="1">
      <alignment horizontal="right" vertical="center" wrapText="1"/>
    </xf>
    <xf numFmtId="167" fontId="3" fillId="5" borderId="0" xfId="3" applyNumberFormat="1" applyFont="1" applyFill="1" applyBorder="1" applyAlignment="1" applyProtection="1">
      <alignment horizontal="right" vertical="center" wrapText="1"/>
    </xf>
    <xf numFmtId="0" fontId="11" fillId="3" borderId="31" xfId="0" applyFont="1" applyFill="1" applyBorder="1" applyAlignment="1">
      <alignment horizontal="left" vertical="center" wrapText="1"/>
    </xf>
    <xf numFmtId="3" fontId="3" fillId="0" borderId="0" xfId="3" applyNumberFormat="1" applyFont="1" applyFill="1" applyBorder="1" applyAlignment="1" applyProtection="1">
      <alignment horizontal="right" vertical="center" wrapText="1"/>
    </xf>
    <xf numFmtId="167" fontId="3" fillId="0" borderId="0" xfId="3" applyNumberFormat="1" applyFont="1" applyFill="1" applyBorder="1" applyAlignment="1" applyProtection="1">
      <alignment horizontal="right" vertical="center" wrapText="1"/>
    </xf>
    <xf numFmtId="168" fontId="3" fillId="0" borderId="0" xfId="3" applyNumberFormat="1" applyFont="1" applyFill="1" applyBorder="1" applyAlignment="1" applyProtection="1">
      <alignment horizontal="right" vertical="center" wrapText="1"/>
    </xf>
    <xf numFmtId="0" fontId="11" fillId="4" borderId="7" xfId="1" applyNumberFormat="1" applyFont="1" applyFill="1" applyBorder="1" applyAlignment="1" applyProtection="1">
      <alignment horizontal="right" vertical="top" wrapText="1"/>
    </xf>
    <xf numFmtId="0" fontId="11" fillId="4" borderId="34" xfId="1" applyNumberFormat="1" applyFont="1" applyFill="1" applyBorder="1" applyAlignment="1" applyProtection="1">
      <alignment horizontal="right" vertical="top" wrapText="1"/>
    </xf>
    <xf numFmtId="0" fontId="11" fillId="4" borderId="35" xfId="1" applyNumberFormat="1" applyFont="1" applyFill="1" applyBorder="1" applyAlignment="1" applyProtection="1">
      <alignment horizontal="right" vertical="top" wrapText="1"/>
    </xf>
    <xf numFmtId="167" fontId="3" fillId="0" borderId="5" xfId="3" applyNumberFormat="1" applyFont="1" applyFill="1" applyBorder="1" applyAlignment="1" applyProtection="1">
      <alignment horizontal="right" vertical="center" wrapText="1"/>
    </xf>
    <xf numFmtId="3" fontId="3" fillId="0" borderId="4" xfId="3" applyNumberFormat="1" applyFont="1" applyFill="1" applyBorder="1" applyAlignment="1" applyProtection="1">
      <alignment horizontal="right" vertical="center" wrapText="1"/>
    </xf>
    <xf numFmtId="172" fontId="3" fillId="0" borderId="4" xfId="3" applyNumberFormat="1" applyFont="1" applyFill="1" applyBorder="1" applyAlignment="1" applyProtection="1">
      <alignment horizontal="right" vertical="center" wrapText="1"/>
    </xf>
    <xf numFmtId="171" fontId="3" fillId="0" borderId="4" xfId="3" applyNumberFormat="1" applyFont="1" applyFill="1" applyBorder="1" applyAlignment="1" applyProtection="1">
      <alignment horizontal="right" vertical="center" wrapText="1"/>
    </xf>
    <xf numFmtId="0" fontId="11" fillId="4" borderId="6" xfId="1" applyNumberFormat="1" applyFont="1" applyFill="1" applyBorder="1" applyAlignment="1" applyProtection="1">
      <alignment horizontal="right" vertical="top" wrapText="1"/>
    </xf>
    <xf numFmtId="167" fontId="3" fillId="0" borderId="36" xfId="3" applyNumberFormat="1" applyFont="1" applyFill="1" applyBorder="1" applyAlignment="1" applyProtection="1">
      <alignment horizontal="right" vertical="center" wrapText="1"/>
    </xf>
    <xf numFmtId="3" fontId="3" fillId="0" borderId="11" xfId="3" applyNumberFormat="1" applyFont="1" applyFill="1" applyBorder="1" applyAlignment="1" applyProtection="1">
      <alignment horizontal="right" vertical="center" wrapText="1"/>
    </xf>
    <xf numFmtId="167" fontId="3" fillId="0" borderId="37" xfId="3" applyNumberFormat="1" applyFont="1" applyFill="1" applyBorder="1" applyAlignment="1" applyProtection="1">
      <alignment horizontal="right" vertical="center" wrapText="1"/>
    </xf>
    <xf numFmtId="3" fontId="3" fillId="0" borderId="12" xfId="3" applyNumberFormat="1" applyFont="1" applyFill="1" applyBorder="1" applyAlignment="1" applyProtection="1">
      <alignment horizontal="right" vertical="center" wrapText="1"/>
    </xf>
    <xf numFmtId="167" fontId="3" fillId="0" borderId="10" xfId="3" applyNumberFormat="1" applyFont="1" applyFill="1" applyBorder="1" applyAlignment="1" applyProtection="1">
      <alignment horizontal="right" vertical="center" wrapText="1"/>
    </xf>
    <xf numFmtId="167" fontId="3" fillId="0" borderId="12" xfId="3" applyNumberFormat="1" applyFont="1" applyFill="1" applyBorder="1" applyAlignment="1" applyProtection="1">
      <alignment horizontal="right" vertical="center" wrapText="1"/>
    </xf>
    <xf numFmtId="3" fontId="3" fillId="5" borderId="0" xfId="3" applyNumberFormat="1" applyFont="1" applyFill="1" applyBorder="1" applyAlignment="1" applyProtection="1">
      <alignment horizontal="right" vertical="center" wrapText="1"/>
    </xf>
    <xf numFmtId="167" fontId="3" fillId="5" borderId="36" xfId="3" applyNumberFormat="1" applyFont="1" applyFill="1" applyBorder="1" applyAlignment="1" applyProtection="1">
      <alignment horizontal="right" vertical="center" wrapText="1"/>
    </xf>
    <xf numFmtId="167" fontId="3" fillId="0" borderId="6" xfId="3" applyNumberFormat="1" applyFont="1" applyFill="1" applyBorder="1" applyAlignment="1" applyProtection="1">
      <alignment horizontal="right" vertical="center" wrapText="1"/>
    </xf>
    <xf numFmtId="0" fontId="11" fillId="4" borderId="38" xfId="1" applyNumberFormat="1" applyFont="1" applyFill="1" applyBorder="1" applyAlignment="1" applyProtection="1">
      <alignment horizontal="right" vertical="top" wrapText="1"/>
    </xf>
    <xf numFmtId="0" fontId="11" fillId="4" borderId="39" xfId="1" applyNumberFormat="1" applyFont="1" applyFill="1" applyBorder="1" applyAlignment="1" applyProtection="1">
      <alignment horizontal="right" vertical="top" wrapText="1"/>
    </xf>
    <xf numFmtId="0" fontId="11" fillId="4" borderId="40" xfId="1" applyNumberFormat="1" applyFont="1" applyFill="1" applyBorder="1" applyAlignment="1" applyProtection="1">
      <alignment horizontal="right" vertical="top" wrapText="1"/>
    </xf>
    <xf numFmtId="170" fontId="3" fillId="0" borderId="8" xfId="3" applyNumberFormat="1" applyFont="1" applyFill="1" applyBorder="1" applyAlignment="1" applyProtection="1">
      <alignment horizontal="right" vertical="center" wrapText="1"/>
    </xf>
    <xf numFmtId="3" fontId="3" fillId="0" borderId="8" xfId="3" applyNumberFormat="1" applyFont="1" applyFill="1" applyBorder="1" applyAlignment="1" applyProtection="1">
      <alignment horizontal="right" vertical="center" wrapText="1"/>
    </xf>
    <xf numFmtId="172" fontId="3" fillId="0" borderId="8" xfId="3" applyNumberFormat="1" applyFont="1" applyFill="1" applyBorder="1" applyAlignment="1" applyProtection="1">
      <alignment horizontal="right" vertical="center" wrapText="1"/>
    </xf>
    <xf numFmtId="171" fontId="3" fillId="0" borderId="8" xfId="3" applyNumberFormat="1" applyFont="1" applyFill="1" applyBorder="1" applyAlignment="1" applyProtection="1">
      <alignment horizontal="right" vertical="center" wrapText="1"/>
    </xf>
    <xf numFmtId="3" fontId="3" fillId="0" borderId="9" xfId="3" applyNumberFormat="1" applyFont="1" applyFill="1" applyBorder="1" applyAlignment="1" applyProtection="1">
      <alignment horizontal="right" vertical="center" wrapText="1"/>
    </xf>
    <xf numFmtId="170" fontId="3" fillId="0" borderId="4" xfId="3" applyNumberFormat="1" applyFont="1" applyFill="1" applyBorder="1" applyAlignment="1" applyProtection="1">
      <alignment horizontal="right" vertical="center" wrapText="1"/>
    </xf>
    <xf numFmtId="168" fontId="3" fillId="0" borderId="5" xfId="3" applyNumberFormat="1" applyFont="1" applyFill="1" applyBorder="1" applyAlignment="1" applyProtection="1">
      <alignment horizontal="right" vertical="center" wrapText="1"/>
    </xf>
    <xf numFmtId="168" fontId="3" fillId="0" borderId="36" xfId="3" applyNumberFormat="1" applyFont="1" applyFill="1" applyBorder="1" applyAlignment="1" applyProtection="1">
      <alignment horizontal="right" vertical="center" wrapText="1"/>
    </xf>
    <xf numFmtId="3" fontId="3" fillId="0" borderId="7" xfId="3" applyNumberFormat="1" applyFont="1" applyFill="1" applyBorder="1" applyAlignment="1" applyProtection="1">
      <alignment horizontal="right" vertical="center" wrapText="1"/>
    </xf>
    <xf numFmtId="167" fontId="3" fillId="0" borderId="39" xfId="3" applyNumberFormat="1" applyFont="1" applyFill="1" applyBorder="1" applyAlignment="1" applyProtection="1">
      <alignment horizontal="right" vertical="center" wrapText="1"/>
    </xf>
    <xf numFmtId="171" fontId="3" fillId="0" borderId="40" xfId="3" applyNumberFormat="1" applyFont="1" applyFill="1" applyBorder="1" applyAlignment="1" applyProtection="1">
      <alignment horizontal="right" vertical="center" wrapText="1"/>
    </xf>
    <xf numFmtId="168" fontId="3" fillId="0" borderId="41" xfId="3" applyNumberFormat="1" applyFont="1" applyFill="1" applyBorder="1" applyAlignment="1" applyProtection="1">
      <alignment horizontal="right" vertical="center" wrapText="1"/>
    </xf>
    <xf numFmtId="3" fontId="3" fillId="0" borderId="40" xfId="3" applyNumberFormat="1" applyFont="1" applyFill="1" applyBorder="1" applyAlignment="1" applyProtection="1">
      <alignment horizontal="right" vertical="center" wrapText="1"/>
    </xf>
    <xf numFmtId="167" fontId="3" fillId="0" borderId="42" xfId="3" applyNumberFormat="1" applyFont="1" applyFill="1" applyBorder="1" applyAlignment="1" applyProtection="1">
      <alignment horizontal="right" vertical="center" wrapText="1"/>
    </xf>
    <xf numFmtId="3" fontId="3" fillId="0" borderId="31" xfId="3" applyNumberFormat="1" applyFont="1" applyFill="1" applyBorder="1" applyAlignment="1" applyProtection="1">
      <alignment horizontal="right" vertical="center" wrapText="1"/>
    </xf>
    <xf numFmtId="167" fontId="3" fillId="0" borderId="32" xfId="3" applyNumberFormat="1" applyFont="1" applyFill="1" applyBorder="1" applyAlignment="1" applyProtection="1">
      <alignment horizontal="right" vertical="center" wrapText="1"/>
    </xf>
    <xf numFmtId="3" fontId="3" fillId="0" borderId="33" xfId="3" applyNumberFormat="1" applyFont="1" applyFill="1" applyBorder="1" applyAlignment="1" applyProtection="1">
      <alignment horizontal="right" vertical="center" wrapText="1"/>
    </xf>
    <xf numFmtId="167" fontId="3" fillId="0" borderId="43" xfId="3" applyNumberFormat="1" applyFont="1" applyFill="1" applyBorder="1" applyAlignment="1" applyProtection="1">
      <alignment horizontal="right" vertical="center" wrapText="1"/>
    </xf>
    <xf numFmtId="167" fontId="3" fillId="0" borderId="41" xfId="3" applyNumberFormat="1" applyFont="1" applyFill="1" applyBorder="1" applyAlignment="1" applyProtection="1">
      <alignment horizontal="right" vertical="center" wrapText="1"/>
    </xf>
    <xf numFmtId="172" fontId="3" fillId="0" borderId="40" xfId="3" applyNumberFormat="1" applyFont="1" applyFill="1" applyBorder="1" applyAlignment="1" applyProtection="1">
      <alignment horizontal="right" vertical="center" wrapText="1"/>
    </xf>
    <xf numFmtId="171" fontId="3" fillId="0" borderId="33" xfId="3" applyNumberFormat="1" applyFont="1" applyFill="1" applyBorder="1" applyAlignment="1" applyProtection="1">
      <alignment horizontal="right" vertical="center" wrapText="1"/>
    </xf>
    <xf numFmtId="168" fontId="3" fillId="0" borderId="6" xfId="3" applyNumberFormat="1" applyFont="1" applyFill="1" applyBorder="1" applyAlignment="1" applyProtection="1">
      <alignment horizontal="right" vertical="center" wrapText="1"/>
    </xf>
    <xf numFmtId="170" fontId="17" fillId="0" borderId="27" xfId="3" applyNumberFormat="1" applyFont="1" applyFill="1" applyBorder="1" applyAlignment="1" applyProtection="1">
      <alignment horizontal="right" vertical="center" wrapText="1"/>
    </xf>
    <xf numFmtId="167" fontId="17" fillId="0" borderId="28" xfId="3" applyNumberFormat="1" applyFont="1" applyFill="1" applyBorder="1" applyAlignment="1" applyProtection="1">
      <alignment horizontal="right" vertical="center" wrapText="1"/>
    </xf>
    <xf numFmtId="170" fontId="17" fillId="0" borderId="29" xfId="3" applyNumberFormat="1" applyFont="1" applyFill="1" applyBorder="1" applyAlignment="1" applyProtection="1">
      <alignment horizontal="right" vertical="center" wrapText="1"/>
    </xf>
    <xf numFmtId="167" fontId="17" fillId="0" borderId="30" xfId="3" applyNumberFormat="1" applyFont="1" applyFill="1" applyBorder="1" applyAlignment="1" applyProtection="1">
      <alignment horizontal="right" vertical="center" wrapText="1"/>
    </xf>
    <xf numFmtId="167" fontId="17" fillId="0" borderId="44" xfId="3" applyNumberFormat="1" applyFont="1" applyFill="1" applyBorder="1" applyAlignment="1" applyProtection="1">
      <alignment horizontal="righ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1" fillId="4" borderId="32" xfId="1" applyNumberFormat="1" applyFont="1" applyFill="1" applyBorder="1" applyAlignment="1" applyProtection="1">
      <alignment horizontal="right" vertical="top" wrapText="1"/>
    </xf>
    <xf numFmtId="0" fontId="11" fillId="4" borderId="33" xfId="1" applyNumberFormat="1" applyFont="1" applyFill="1" applyBorder="1" applyAlignment="1" applyProtection="1">
      <alignment horizontal="right" vertical="top" wrapText="1"/>
    </xf>
    <xf numFmtId="0" fontId="11" fillId="4" borderId="43" xfId="1" applyNumberFormat="1" applyFont="1" applyFill="1" applyBorder="1" applyAlignment="1" applyProtection="1">
      <alignment horizontal="right" vertical="top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177800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0</xdr:row>
      <xdr:rowOff>38100</xdr:rowOff>
    </xdr:from>
    <xdr:to>
      <xdr:col>9</xdr:col>
      <xdr:colOff>219689</xdr:colOff>
      <xdr:row>5</xdr:row>
      <xdr:rowOff>2648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3810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511175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523875</xdr:colOff>
      <xdr:row>0</xdr:row>
      <xdr:rowOff>38100</xdr:rowOff>
    </xdr:from>
    <xdr:to>
      <xdr:col>7</xdr:col>
      <xdr:colOff>276839</xdr:colOff>
      <xdr:row>5</xdr:row>
      <xdr:rowOff>2648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981575" y="38100"/>
          <a:ext cx="2400914" cy="888473"/>
          <a:chOff x="51054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1054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762625" y="304800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762625" y="495300"/>
                <a:ext cx="1409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762625" y="657225"/>
                <a:ext cx="1047750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showGridLines="0" tabSelected="1" workbookViewId="0"/>
  </sheetViews>
  <sheetFormatPr baseColWidth="10" defaultRowHeight="12.75" x14ac:dyDescent="0.2"/>
  <cols>
    <col min="1" max="1" width="18.375" style="6" customWidth="1"/>
    <col min="2" max="2" width="8.75" style="6" customWidth="1"/>
    <col min="3" max="3" width="9.125" style="6" bestFit="1" customWidth="1"/>
    <col min="4" max="4" width="8.75" style="6" customWidth="1"/>
    <col min="5" max="5" width="9.125" style="6" bestFit="1" customWidth="1"/>
    <col min="6" max="6" width="8.75" style="6" customWidth="1"/>
    <col min="7" max="7" width="9.125" style="6" bestFit="1" customWidth="1"/>
    <col min="8" max="16384" width="11" style="6"/>
  </cols>
  <sheetData>
    <row r="1" spans="1:9" s="1" customFormat="1" x14ac:dyDescent="0.2"/>
    <row r="2" spans="1:9" s="1" customFormat="1" ht="15.75" x14ac:dyDescent="0.25">
      <c r="B2" s="2"/>
      <c r="C2" s="12"/>
      <c r="D2" s="12"/>
    </row>
    <row r="3" spans="1:9" s="1" customFormat="1" ht="15.75" x14ac:dyDescent="0.25">
      <c r="B3" s="2"/>
      <c r="C3" s="12"/>
      <c r="D3" s="12"/>
    </row>
    <row r="4" spans="1:9" s="1" customFormat="1" ht="15.75" x14ac:dyDescent="0.25">
      <c r="B4" s="2"/>
      <c r="C4" s="12"/>
      <c r="D4" s="12"/>
    </row>
    <row r="5" spans="1:9" s="1" customFormat="1" x14ac:dyDescent="0.2"/>
    <row r="6" spans="1:9" s="1" customFormat="1" x14ac:dyDescent="0.2"/>
    <row r="7" spans="1:9" s="1" customFormat="1" ht="15.75" customHeight="1" x14ac:dyDescent="0.2">
      <c r="A7" s="101" t="str">
        <f>VLOOKUP("&lt;Fachbereich&gt;",Uebersetzungen!$B$3:$E$31,Uebersetzungen!$B$2+1,FALSE)</f>
        <v>Daten &amp; Statistik</v>
      </c>
      <c r="B7" s="101"/>
      <c r="C7" s="101"/>
      <c r="D7" s="101"/>
      <c r="E7" s="14"/>
      <c r="F7" s="14"/>
      <c r="G7" s="14"/>
      <c r="H7" s="14"/>
      <c r="I7" s="14"/>
    </row>
    <row r="8" spans="1:9" s="1" customFormat="1" x14ac:dyDescent="0.2"/>
    <row r="9" spans="1:9" ht="18" x14ac:dyDescent="0.2">
      <c r="A9" s="3" t="str">
        <f>VLOOKUP("&lt;Titel&gt;",Uebersetzungen!$B$3:$E$31,Uebersetzungen!$B$2+1,FALSE)</f>
        <v>Doppelbürgerschaft nach soziodemografischen Merkmalen und Kanton</v>
      </c>
      <c r="B9" s="4"/>
      <c r="C9" s="5"/>
      <c r="D9" s="5"/>
      <c r="E9" s="5"/>
      <c r="F9" s="5"/>
      <c r="G9" s="5"/>
    </row>
    <row r="10" spans="1:9" x14ac:dyDescent="0.2">
      <c r="A10" s="7" t="str">
        <f>VLOOKUP("&lt;UTitel&gt;",Uebersetzungen!$B$3:$E$31,Uebersetzungen!$B$2+1,FALSE)</f>
        <v>Ständige schweizerische Wohnbevölkerung ab 15 Jahren</v>
      </c>
      <c r="B10" s="4"/>
      <c r="C10" s="5"/>
      <c r="D10" s="5"/>
      <c r="E10" s="5"/>
      <c r="F10" s="5"/>
      <c r="G10" s="5"/>
    </row>
    <row r="11" spans="1:9" ht="13.5" thickBot="1" x14ac:dyDescent="0.25">
      <c r="A11" s="7"/>
      <c r="B11" s="4"/>
      <c r="C11" s="5"/>
      <c r="D11" s="5"/>
      <c r="E11" s="5"/>
      <c r="F11" s="5"/>
      <c r="G11" s="5"/>
    </row>
    <row r="12" spans="1:9" ht="18" x14ac:dyDescent="0.25">
      <c r="A12" s="8"/>
      <c r="B12" s="107">
        <v>2024</v>
      </c>
      <c r="C12" s="108"/>
      <c r="D12" s="108"/>
      <c r="E12" s="108"/>
      <c r="F12" s="108"/>
      <c r="G12" s="109"/>
    </row>
    <row r="13" spans="1:9" ht="37.5" customHeight="1" x14ac:dyDescent="0.2">
      <c r="A13" s="99"/>
      <c r="B13" s="104" t="str">
        <f>VLOOKUP("&lt;SpaltenTitel_1&gt;",Uebersetzungen!$B$3:$E$31,Uebersetzungen!$B$2+1,FALSE)</f>
        <v>Total</v>
      </c>
      <c r="C13" s="105"/>
      <c r="D13" s="105" t="str">
        <f>VLOOKUP("&lt;SpaltenTitel_2&gt;",Uebersetzungen!$B$3:$E$31,Uebersetzungen!$B$2+1,FALSE)</f>
        <v>Schweizer mit weiterer Staatsangehörigkeit</v>
      </c>
      <c r="E13" s="105"/>
      <c r="F13" s="105" t="str">
        <f>VLOOKUP("&lt;SpaltenTitel_3&gt;",Uebersetzungen!$B$3:$E$31,Uebersetzungen!$B$2+1,FALSE)</f>
        <v>Schweizer ohne weitere Staatsangehörigkeit</v>
      </c>
      <c r="G13" s="106"/>
    </row>
    <row r="14" spans="1:9" ht="39" thickBot="1" x14ac:dyDescent="0.25">
      <c r="A14" s="100"/>
      <c r="B14" s="54" t="str">
        <f>VLOOKUP("&lt;SpaltenTitel_1.1&gt;",Uebersetzungen!$B$3:$E$31,Uebersetzungen!$B$2+1,FALSE)</f>
        <v>Anzahl Personen</v>
      </c>
      <c r="C14" s="110" t="str">
        <f>VLOOKUP("&lt;SpaltenTitel_1.2&gt;",Uebersetzungen!$B$3:$E$31,Uebersetzungen!$B$2+1,FALSE)</f>
        <v>Vertrauens- intervall: ± (in %)</v>
      </c>
      <c r="D14" s="111" t="str">
        <f>VLOOKUP("&lt;SpaltenTitel_2.1&gt;",Uebersetzungen!$B$3:$E$31,Uebersetzungen!$B$2+1,FALSE)</f>
        <v>Anzahl Personen</v>
      </c>
      <c r="E14" s="59" t="str">
        <f>VLOOKUP("&lt;SpaltenTitel_2.2&gt;",Uebersetzungen!$B$3:$E$31,Uebersetzungen!$B$2+1,FALSE)</f>
        <v>Vertrauens- intervall: ± (in %)</v>
      </c>
      <c r="F14" s="111" t="str">
        <f>VLOOKUP("&lt;SpaltenTitel_3.1&gt;",Uebersetzungen!$B$3:$E$31,Uebersetzungen!$B$2+1,FALSE)</f>
        <v>Anzahl Personen</v>
      </c>
      <c r="G14" s="112" t="str">
        <f>VLOOKUP("&lt;SpaltenTitel_3.2&gt;",Uebersetzungen!$B$3:$E$31,Uebersetzungen!$B$2+1,FALSE)</f>
        <v>Vertrauens- intervall: ± (in %)</v>
      </c>
    </row>
    <row r="15" spans="1:9" x14ac:dyDescent="0.2">
      <c r="A15" s="34" t="str">
        <f>VLOOKUP("&lt;Zeilentitel_1&gt;",Uebersetzungen!$B$3:$E$31,Uebersetzungen!$B$2+1,FALSE)</f>
        <v>Total</v>
      </c>
      <c r="B15" s="94">
        <v>5497428.9999999925</v>
      </c>
      <c r="C15" s="95">
        <v>0.22056402076691237</v>
      </c>
      <c r="D15" s="96">
        <v>1147425.7675402772</v>
      </c>
      <c r="E15" s="97">
        <v>0.87467253778811505</v>
      </c>
      <c r="F15" s="96">
        <v>4350003.2324597165</v>
      </c>
      <c r="G15" s="98">
        <v>0.30960993734477638</v>
      </c>
    </row>
    <row r="16" spans="1:9" x14ac:dyDescent="0.2">
      <c r="A16" s="16" t="str">
        <f>VLOOKUP("&lt;Zeilentitel_2&gt;",Uebersetzungen!$B$3:$E$31,Uebersetzungen!$B$2+1,FALSE)</f>
        <v>Zürich</v>
      </c>
      <c r="B16" s="49">
        <v>956075.99999999115</v>
      </c>
      <c r="C16" s="55">
        <v>0.62515988047465509</v>
      </c>
      <c r="D16" s="56">
        <v>244775.88629847107</v>
      </c>
      <c r="E16" s="50">
        <v>2.1389801258746814</v>
      </c>
      <c r="F16" s="56">
        <v>711300.11370152002</v>
      </c>
      <c r="G16" s="60">
        <v>0.92677029421697765</v>
      </c>
    </row>
    <row r="17" spans="1:7" x14ac:dyDescent="0.2">
      <c r="A17" s="16" t="str">
        <f>VLOOKUP("&lt;Zeilentitel_3&gt;",Uebersetzungen!$B$3:$E$31,Uebersetzungen!$B$2+1,FALSE)</f>
        <v>Bern</v>
      </c>
      <c r="B17" s="49">
        <v>735890.00000000675</v>
      </c>
      <c r="C17" s="55">
        <v>0.53580904608955515</v>
      </c>
      <c r="D17" s="56">
        <v>87284.878492601623</v>
      </c>
      <c r="E17" s="50">
        <v>3.6918256637089621</v>
      </c>
      <c r="F17" s="56">
        <v>648605.12150740507</v>
      </c>
      <c r="G17" s="60">
        <v>0.7180810941221295</v>
      </c>
    </row>
    <row r="18" spans="1:7" x14ac:dyDescent="0.2">
      <c r="A18" s="16" t="str">
        <f>VLOOKUP("&lt;Zeilentitel_4&gt;",Uebersetzungen!$B$3:$E$31,Uebersetzungen!$B$2+1,FALSE)</f>
        <v>Luzern</v>
      </c>
      <c r="B18" s="49">
        <v>286097.99999999901</v>
      </c>
      <c r="C18" s="55">
        <v>0.66962689506663331</v>
      </c>
      <c r="D18" s="56">
        <v>35407.451109719907</v>
      </c>
      <c r="E18" s="50">
        <v>4.1119482379564634</v>
      </c>
      <c r="F18" s="56">
        <v>250690.54889027908</v>
      </c>
      <c r="G18" s="60">
        <v>0.87432498476705856</v>
      </c>
    </row>
    <row r="19" spans="1:7" x14ac:dyDescent="0.2">
      <c r="A19" s="16" t="str">
        <f>VLOOKUP("&lt;Zeilentitel_5&gt;",Uebersetzungen!$B$3:$E$31,Uebersetzungen!$B$2+1,FALSE)</f>
        <v>Uri</v>
      </c>
      <c r="B19" s="49">
        <v>27113.000000000251</v>
      </c>
      <c r="C19" s="55">
        <v>2.5692200007486639</v>
      </c>
      <c r="D19" s="56">
        <v>1780.7722005033652</v>
      </c>
      <c r="E19" s="50">
        <v>26.402108021326264</v>
      </c>
      <c r="F19" s="56">
        <v>25332.227799496886</v>
      </c>
      <c r="G19" s="60">
        <v>3.1509812469981595</v>
      </c>
    </row>
    <row r="20" spans="1:7" x14ac:dyDescent="0.2">
      <c r="A20" s="16" t="str">
        <f>VLOOKUP("&lt;Zeilentitel_6&gt;",Uebersetzungen!$B$3:$E$31,Uebersetzungen!$B$2+1,FALSE)</f>
        <v>Schwyz</v>
      </c>
      <c r="B20" s="49">
        <v>108242.00000000144</v>
      </c>
      <c r="C20" s="55">
        <v>1.7131522236167593</v>
      </c>
      <c r="D20" s="56">
        <v>13778.137858164335</v>
      </c>
      <c r="E20" s="50">
        <v>9.4064935530398675</v>
      </c>
      <c r="F20" s="56">
        <v>94463.862141837104</v>
      </c>
      <c r="G20" s="60">
        <v>2.1720426021302788</v>
      </c>
    </row>
    <row r="21" spans="1:7" x14ac:dyDescent="0.2">
      <c r="A21" s="16" t="str">
        <f>VLOOKUP("&lt;Zeilentitel_7&gt;",Uebersetzungen!$B$3:$E$31,Uebersetzungen!$B$2+1,FALSE)</f>
        <v>Obwalden</v>
      </c>
      <c r="B21" s="49">
        <v>27483.999999999571</v>
      </c>
      <c r="C21" s="55">
        <v>3.055383625164938</v>
      </c>
      <c r="D21" s="57">
        <v>1657.5028691891823</v>
      </c>
      <c r="E21" s="51">
        <v>28.221093770739948</v>
      </c>
      <c r="F21" s="56">
        <v>25826.497130810389</v>
      </c>
      <c r="G21" s="60">
        <v>3.5587085090681492</v>
      </c>
    </row>
    <row r="22" spans="1:7" x14ac:dyDescent="0.2">
      <c r="A22" s="16" t="str">
        <f>VLOOKUP("&lt;Zeilentitel_8&gt;",Uebersetzungen!$B$3:$E$31,Uebersetzungen!$B$2+1,FALSE)</f>
        <v>Nidwalden</v>
      </c>
      <c r="B22" s="49">
        <v>31883.999999999804</v>
      </c>
      <c r="C22" s="55">
        <v>2.4942986989901481</v>
      </c>
      <c r="D22" s="56">
        <v>2989.3687783658411</v>
      </c>
      <c r="E22" s="50">
        <v>19.53552825878764</v>
      </c>
      <c r="F22" s="56">
        <v>28894.631221633961</v>
      </c>
      <c r="G22" s="60">
        <v>3.2151829078703504</v>
      </c>
    </row>
    <row r="23" spans="1:7" x14ac:dyDescent="0.2">
      <c r="A23" s="16" t="str">
        <f>VLOOKUP("&lt;Zeilentitel_9&gt;",Uebersetzungen!$B$3:$E$31,Uebersetzungen!$B$2+1,FALSE)</f>
        <v>Glarus</v>
      </c>
      <c r="B23" s="49">
        <v>26016.999999999312</v>
      </c>
      <c r="C23" s="55">
        <v>3.7117921759144479</v>
      </c>
      <c r="D23" s="56">
        <v>3344.9111353535313</v>
      </c>
      <c r="E23" s="50">
        <v>19.750605738757262</v>
      </c>
      <c r="F23" s="56">
        <v>22672.088864645782</v>
      </c>
      <c r="G23" s="60">
        <v>4.65298901038385</v>
      </c>
    </row>
    <row r="24" spans="1:7" x14ac:dyDescent="0.2">
      <c r="A24" s="16" t="str">
        <f>VLOOKUP("&lt;Zeilentitel_10&gt;",Uebersetzungen!$B$3:$E$31,Uebersetzungen!$B$2+1,FALSE)</f>
        <v>Zug</v>
      </c>
      <c r="B24" s="49">
        <v>78577.999999997191</v>
      </c>
      <c r="C24" s="55">
        <v>1.5332836362110189</v>
      </c>
      <c r="D24" s="56">
        <v>15530.836048927758</v>
      </c>
      <c r="E24" s="50">
        <v>5.9636283894589859</v>
      </c>
      <c r="F24" s="56">
        <v>63047.163951069429</v>
      </c>
      <c r="G24" s="60">
        <v>2.0878851296920051</v>
      </c>
    </row>
    <row r="25" spans="1:7" x14ac:dyDescent="0.2">
      <c r="A25" s="16" t="str">
        <f>VLOOKUP("&lt;Zeilentitel_11&gt;",Uebersetzungen!$B$3:$E$31,Uebersetzungen!$B$2+1,FALSE)</f>
        <v>Freiburg</v>
      </c>
      <c r="B25" s="49">
        <v>214650.99999999671</v>
      </c>
      <c r="C25" s="55">
        <v>1.1564903674462814</v>
      </c>
      <c r="D25" s="56">
        <v>33606.879470817134</v>
      </c>
      <c r="E25" s="50">
        <v>5.8659243696936487</v>
      </c>
      <c r="F25" s="56">
        <v>181044.12052917958</v>
      </c>
      <c r="G25" s="60">
        <v>1.5631101833456074</v>
      </c>
    </row>
    <row r="26" spans="1:7" x14ac:dyDescent="0.2">
      <c r="A26" s="16" t="str">
        <f>VLOOKUP("&lt;Zeilentitel_12&gt;",Uebersetzungen!$B$3:$E$31,Uebersetzungen!$B$2+1,FALSE)</f>
        <v>Solothurn</v>
      </c>
      <c r="B26" s="49">
        <v>182052.00000000355</v>
      </c>
      <c r="C26" s="55">
        <v>1.3053959593942666</v>
      </c>
      <c r="D26" s="56">
        <v>22534.092431192654</v>
      </c>
      <c r="E26" s="50">
        <v>7.4039080060439435</v>
      </c>
      <c r="F26" s="56">
        <v>159517.90756881089</v>
      </c>
      <c r="G26" s="60">
        <v>1.6517861399293443</v>
      </c>
    </row>
    <row r="27" spans="1:7" x14ac:dyDescent="0.2">
      <c r="A27" s="16" t="str">
        <f>VLOOKUP("&lt;Zeilentitel_13&gt;",Uebersetzungen!$B$3:$E$31,Uebersetzungen!$B$2+1,FALSE)</f>
        <v>Basel-Stadt</v>
      </c>
      <c r="B27" s="49">
        <v>103952.99999999774</v>
      </c>
      <c r="C27" s="55">
        <v>2.2545544393984556</v>
      </c>
      <c r="D27" s="56">
        <v>30306.736218948688</v>
      </c>
      <c r="E27" s="50">
        <v>6.229517041499431</v>
      </c>
      <c r="F27" s="56">
        <v>73646.263781049056</v>
      </c>
      <c r="G27" s="60">
        <v>3.244320878395702</v>
      </c>
    </row>
    <row r="28" spans="1:7" x14ac:dyDescent="0.2">
      <c r="A28" s="16" t="str">
        <f>VLOOKUP("&lt;Zeilentitel_14&gt;",Uebersetzungen!$B$3:$E$31,Uebersetzungen!$B$2+1,FALSE)</f>
        <v>Basel-Landschaft</v>
      </c>
      <c r="B28" s="49">
        <v>190111.00000000151</v>
      </c>
      <c r="C28" s="55">
        <v>1.2873348510153135</v>
      </c>
      <c r="D28" s="56">
        <v>36130.190371382239</v>
      </c>
      <c r="E28" s="50">
        <v>5.6688131146638181</v>
      </c>
      <c r="F28" s="56">
        <v>153980.80962861926</v>
      </c>
      <c r="G28" s="60">
        <v>1.7999793537041424</v>
      </c>
    </row>
    <row r="29" spans="1:7" x14ac:dyDescent="0.2">
      <c r="A29" s="16" t="str">
        <f>VLOOKUP("&lt;Zeilentitel_15&gt;",Uebersetzungen!$B$3:$E$52,Uebersetzungen!$B$2+1,FALSE)</f>
        <v>Schaffhausen</v>
      </c>
      <c r="B29" s="49">
        <v>52961.99999999896</v>
      </c>
      <c r="C29" s="55">
        <v>2.7197616004236513</v>
      </c>
      <c r="D29" s="56">
        <v>9817.9775907426028</v>
      </c>
      <c r="E29" s="50">
        <v>11.242607444453631</v>
      </c>
      <c r="F29" s="56">
        <v>43144.022409256359</v>
      </c>
      <c r="G29" s="60">
        <v>3.6351511021411018</v>
      </c>
    </row>
    <row r="30" spans="1:7" ht="14.25" customHeight="1" x14ac:dyDescent="0.2">
      <c r="A30" s="16" t="str">
        <f>VLOOKUP("&lt;Zeilentitel_16&gt;",Uebersetzungen!$B$3:$E$52,Uebersetzungen!$B$2+1,FALSE)</f>
        <v>Appenzell Ausserrhoden</v>
      </c>
      <c r="B30" s="49">
        <v>38099.000000000153</v>
      </c>
      <c r="C30" s="55">
        <v>2.5752023890611371</v>
      </c>
      <c r="D30" s="56">
        <v>4712.9336988118748</v>
      </c>
      <c r="E30" s="50">
        <v>16.221862974185996</v>
      </c>
      <c r="F30" s="56">
        <v>33386.066301188279</v>
      </c>
      <c r="G30" s="60">
        <v>3.4088797141372895</v>
      </c>
    </row>
    <row r="31" spans="1:7" x14ac:dyDescent="0.2">
      <c r="A31" s="16" t="str">
        <f>VLOOKUP("&lt;Zeilentitel_17&gt;",Uebersetzungen!$B$3:$E$52,Uebersetzungen!$B$2+1,FALSE)</f>
        <v>Appenzell Innerrhoden</v>
      </c>
      <c r="B31" s="49">
        <v>12099.999999999927</v>
      </c>
      <c r="C31" s="55">
        <v>3.8447821301537988</v>
      </c>
      <c r="D31" s="58">
        <v>879.60051044785598</v>
      </c>
      <c r="E31" s="51">
        <v>38.553978768846555</v>
      </c>
      <c r="F31" s="56">
        <v>11220.399489552072</v>
      </c>
      <c r="G31" s="60">
        <v>4.8358729463169139</v>
      </c>
    </row>
    <row r="32" spans="1:7" x14ac:dyDescent="0.2">
      <c r="A32" s="16" t="str">
        <f>VLOOKUP("&lt;Zeilentitel_18&gt;",Uebersetzungen!$B$3:$E$52,Uebersetzungen!$B$2+1,FALSE)</f>
        <v>St. Gallen</v>
      </c>
      <c r="B32" s="49">
        <v>327569.0000000053</v>
      </c>
      <c r="C32" s="55">
        <v>1.015949674890787</v>
      </c>
      <c r="D32" s="56">
        <v>47527.539731992656</v>
      </c>
      <c r="E32" s="50">
        <v>5.0357610939549389</v>
      </c>
      <c r="F32" s="56">
        <v>280041.46026801266</v>
      </c>
      <c r="G32" s="60">
        <v>1.3068818364948138</v>
      </c>
    </row>
    <row r="33" spans="1:7" x14ac:dyDescent="0.2">
      <c r="A33" s="17" t="str">
        <f>VLOOKUP("&lt;Zeilentitel_19&gt;",Uebersetzungen!$B$3:$E$52,Uebersetzungen!$B$2+1,FALSE)</f>
        <v>Graubünden</v>
      </c>
      <c r="B33" s="66">
        <v>139479.99999999587</v>
      </c>
      <c r="C33" s="45">
        <v>1.3160876423395869</v>
      </c>
      <c r="D33" s="46">
        <v>16920.820493423431</v>
      </c>
      <c r="E33" s="47">
        <v>8.3241169586250621</v>
      </c>
      <c r="F33" s="46">
        <v>122559.17950657244</v>
      </c>
      <c r="G33" s="67">
        <v>1.7361845988806306</v>
      </c>
    </row>
    <row r="34" spans="1:7" x14ac:dyDescent="0.2">
      <c r="A34" s="16" t="str">
        <f>VLOOKUP("&lt;Zeilentitel_20&gt;",Uebersetzungen!$B$3:$E$52,Uebersetzungen!$B$2+1,FALSE)</f>
        <v>Aargau</v>
      </c>
      <c r="B34" s="49">
        <v>444354.00000000489</v>
      </c>
      <c r="C34" s="55">
        <v>0.61116603681387416</v>
      </c>
      <c r="D34" s="56">
        <v>79497.979215184081</v>
      </c>
      <c r="E34" s="50">
        <v>2.6729032206848204</v>
      </c>
      <c r="F34" s="56">
        <v>364856.02078482078</v>
      </c>
      <c r="G34" s="60">
        <v>0.8270832003730233</v>
      </c>
    </row>
    <row r="35" spans="1:7" x14ac:dyDescent="0.2">
      <c r="A35" s="16" t="str">
        <f>VLOOKUP("&lt;Zeilentitel_21&gt;",Uebersetzungen!$B$3:$E$52,Uebersetzungen!$B$2+1,FALSE)</f>
        <v>Thurgau</v>
      </c>
      <c r="B35" s="49">
        <v>180003.9999999993</v>
      </c>
      <c r="C35" s="55">
        <v>1.3939594580640606</v>
      </c>
      <c r="D35" s="56">
        <v>27208.088781742783</v>
      </c>
      <c r="E35" s="50">
        <v>6.6524918412557996</v>
      </c>
      <c r="F35" s="56">
        <v>152795.91121825651</v>
      </c>
      <c r="G35" s="60">
        <v>1.8034120634785147</v>
      </c>
    </row>
    <row r="36" spans="1:7" x14ac:dyDescent="0.2">
      <c r="A36" s="16" t="str">
        <f>VLOOKUP("&lt;Zeilentitel_22&gt;",Uebersetzungen!$B$3:$E$52,Uebersetzungen!$B$2+1,FALSE)</f>
        <v>Tessin</v>
      </c>
      <c r="B36" s="49">
        <v>217370.99999999726</v>
      </c>
      <c r="C36" s="55">
        <v>0.95014100420019598</v>
      </c>
      <c r="D36" s="56">
        <v>67157.580322211579</v>
      </c>
      <c r="E36" s="50">
        <v>2.8180583272685076</v>
      </c>
      <c r="F36" s="56">
        <v>150213.41967778569</v>
      </c>
      <c r="G36" s="60">
        <v>1.500862933495801</v>
      </c>
    </row>
    <row r="37" spans="1:7" x14ac:dyDescent="0.2">
      <c r="A37" s="16" t="str">
        <f>VLOOKUP("&lt;Zeilentitel_23&gt;",Uebersetzungen!$B$3:$E$52,Uebersetzungen!$B$2+1,FALSE)</f>
        <v>Waadt</v>
      </c>
      <c r="B37" s="49">
        <v>468627.99999999552</v>
      </c>
      <c r="C37" s="55">
        <v>0.65660614813538343</v>
      </c>
      <c r="D37" s="56">
        <v>158914.40749543993</v>
      </c>
      <c r="E37" s="50">
        <v>1.7968471252625202</v>
      </c>
      <c r="F37" s="56">
        <v>309713.59250455559</v>
      </c>
      <c r="G37" s="60">
        <v>1.0605662840873102</v>
      </c>
    </row>
    <row r="38" spans="1:7" x14ac:dyDescent="0.2">
      <c r="A38" s="16" t="str">
        <f>VLOOKUP("&lt;Zeilentitel_24&gt;",Uebersetzungen!$B$3:$E$52,Uebersetzungen!$B$2+1,FALSE)</f>
        <v>Wallis</v>
      </c>
      <c r="B38" s="49">
        <v>233433.99999999846</v>
      </c>
      <c r="C38" s="55">
        <v>1.1329605872081445</v>
      </c>
      <c r="D38" s="56">
        <v>41918.96475441935</v>
      </c>
      <c r="E38" s="50">
        <v>5.3121496064252707</v>
      </c>
      <c r="F38" s="56">
        <v>191515.03524557911</v>
      </c>
      <c r="G38" s="60">
        <v>1.5858325201463619</v>
      </c>
    </row>
    <row r="39" spans="1:7" x14ac:dyDescent="0.2">
      <c r="A39" s="16" t="str">
        <f>VLOOKUP("&lt;Zeilentitel_25&gt;",Uebersetzungen!$B$3:$E$52,Uebersetzungen!$B$2+1,FALSE)</f>
        <v>Neuenburg</v>
      </c>
      <c r="B39" s="49">
        <v>109881.00000000058</v>
      </c>
      <c r="C39" s="55">
        <v>1.2346386768910576</v>
      </c>
      <c r="D39" s="56">
        <v>31205.930583026719</v>
      </c>
      <c r="E39" s="50">
        <v>4.0855207659787993</v>
      </c>
      <c r="F39" s="56">
        <v>78675.069416973856</v>
      </c>
      <c r="G39" s="60">
        <v>1.9632626112732161</v>
      </c>
    </row>
    <row r="40" spans="1:7" x14ac:dyDescent="0.2">
      <c r="A40" s="16" t="str">
        <f>VLOOKUP("&lt;Zeilentitel_26&gt;",Uebersetzungen!$B$3:$E$52,Uebersetzungen!$B$2+1,FALSE)</f>
        <v>Genf</v>
      </c>
      <c r="B40" s="49">
        <v>252841.00000000349</v>
      </c>
      <c r="C40" s="55">
        <v>0.97774870267289826</v>
      </c>
      <c r="D40" s="56">
        <v>124618.82064268141</v>
      </c>
      <c r="E40" s="50">
        <v>1.9616987552190095</v>
      </c>
      <c r="F40" s="56">
        <v>128222.17935732208</v>
      </c>
      <c r="G40" s="60">
        <v>1.8928963977291966</v>
      </c>
    </row>
    <row r="41" spans="1:7" ht="13.5" thickBot="1" x14ac:dyDescent="0.25">
      <c r="A41" s="18" t="str">
        <f>VLOOKUP("&lt;Zeilentitel_27&gt;",Uebersetzungen!$B$3:$E$52,Uebersetzungen!$B$2+1,FALSE)</f>
        <v>Jura</v>
      </c>
      <c r="B41" s="63">
        <v>52556.999999999418</v>
      </c>
      <c r="C41" s="64">
        <v>1.9899346268626643</v>
      </c>
      <c r="D41" s="61">
        <v>7917.480436515144</v>
      </c>
      <c r="E41" s="65">
        <v>12.037306016684878</v>
      </c>
      <c r="F41" s="61">
        <v>44639.519563484275</v>
      </c>
      <c r="G41" s="62">
        <v>2.8773094463886286</v>
      </c>
    </row>
    <row r="43" spans="1:7" x14ac:dyDescent="0.2">
      <c r="A43" s="15" t="str">
        <f>VLOOKUP("&lt;Legende_1&gt;",Uebersetzungen!$B$3:$E$52,Uebersetzungen!$B$2+1,FALSE)</f>
        <v>(): Extrapolation aufgrund von 49 oder weniger Beobachtungen. Die Resultate sind mit grosser Vorsicht zu interpretieren.</v>
      </c>
    </row>
    <row r="44" spans="1:7" x14ac:dyDescent="0.2">
      <c r="A44" s="15" t="str">
        <f>VLOOKUP("&lt;Legende_2&gt;",Uebersetzungen!$B$3:$E$52,Uebersetzungen!$B$2+1,FALSE)</f>
        <v>X: Extrapolation aufgrund von 4 oder weniger Beobachtungen. Die Resultate werden aus Gründen des Datenschutzes nicht publiziert.</v>
      </c>
    </row>
    <row r="45" spans="1:7" x14ac:dyDescent="0.2">
      <c r="A45" s="15" t="str">
        <f>VLOOKUP("&lt;Legende_3&gt;",Uebersetzungen!$B$3:$E$52,Uebersetzungen!$B$2+1,FALSE)</f>
        <v>Die Grundgesamtheit der Strukturerhebung enthält alle Personen der ständigen Wohnbevölkerung ab vollendetem 15. Altersjahr, die in Privathaushalten leben.</v>
      </c>
    </row>
    <row r="46" spans="1:7" x14ac:dyDescent="0.2">
      <c r="A46" s="15" t="str">
        <f>VLOOKUP("&lt;Legende_4&gt;",Uebersetzungen!$B$3:$E$52,Uebersetzungen!$B$2+1,FALSE)</f>
        <v>Aus der Grundgesamtheit ausgeschlossen wurden neben den Personen, die in Kollektivhaushalten leben, auch Diplomaten, internationale Funktionäre und deren Angehörige.</v>
      </c>
    </row>
    <row r="47" spans="1:7" x14ac:dyDescent="0.2">
      <c r="A47" s="7"/>
    </row>
    <row r="48" spans="1:7" x14ac:dyDescent="0.2">
      <c r="A48" s="7" t="str">
        <f>VLOOKUP("&lt;Quelle_1&gt;",Uebersetzungen!$B$3:$E$52,Uebersetzungen!$B$2+1,FALSE)</f>
        <v>Quelle: BFS (Strukturerhebung)</v>
      </c>
    </row>
    <row r="49" spans="1:7" x14ac:dyDescent="0.2">
      <c r="A49" s="15" t="str">
        <f>VLOOKUP("&lt;Aktualisierung&gt;",Uebersetzungen!$B$3:$E$52,Uebersetzungen!$B$2+1,FALSE)</f>
        <v>Letztmals aktualisiert am: 29.01.2026</v>
      </c>
    </row>
    <row r="50" spans="1:7" x14ac:dyDescent="0.2">
      <c r="B50" s="9"/>
      <c r="F50" s="9"/>
    </row>
    <row r="52" spans="1:7" x14ac:dyDescent="0.2">
      <c r="B52" s="10"/>
      <c r="F52" s="10"/>
    </row>
    <row r="53" spans="1:7" x14ac:dyDescent="0.2">
      <c r="F53" s="9"/>
      <c r="G53" s="9"/>
    </row>
  </sheetData>
  <sheetProtection sheet="1" objects="1" scenarios="1"/>
  <mergeCells count="6">
    <mergeCell ref="A13:A14"/>
    <mergeCell ref="B13:C13"/>
    <mergeCell ref="D13:E13"/>
    <mergeCell ref="F13:G13"/>
    <mergeCell ref="A7:D7"/>
    <mergeCell ref="B12:G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133350</xdr:colOff>
                    <xdr:row>1</xdr:row>
                    <xdr:rowOff>133350</xdr:rowOff>
                  </from>
                  <to>
                    <xdr:col>8</xdr:col>
                    <xdr:colOff>342900</xdr:colOff>
                    <xdr:row>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133350</xdr:colOff>
                    <xdr:row>2</xdr:row>
                    <xdr:rowOff>123825</xdr:rowOff>
                  </from>
                  <to>
                    <xdr:col>8</xdr:col>
                    <xdr:colOff>704850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133350</xdr:colOff>
                    <xdr:row>3</xdr:row>
                    <xdr:rowOff>85725</xdr:rowOff>
                  </from>
                  <to>
                    <xdr:col>8</xdr:col>
                    <xdr:colOff>342900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55"/>
  <sheetViews>
    <sheetView showGridLines="0" workbookViewId="0"/>
  </sheetViews>
  <sheetFormatPr baseColWidth="10" defaultRowHeight="12.75" x14ac:dyDescent="0.2"/>
  <cols>
    <col min="1" max="1" width="28.125" style="6" customWidth="1"/>
    <col min="2" max="2" width="22.125" style="6" customWidth="1"/>
    <col min="3" max="3" width="8.25" style="6" bestFit="1" customWidth="1"/>
    <col min="4" max="4" width="9.125" style="6" bestFit="1" customWidth="1"/>
    <col min="5" max="5" width="8.25" style="6" bestFit="1" customWidth="1"/>
    <col min="6" max="6" width="9.125" style="6" bestFit="1" customWidth="1"/>
    <col min="7" max="7" width="8.25" style="6" bestFit="1" customWidth="1"/>
    <col min="8" max="8" width="9.125" style="6" bestFit="1" customWidth="1"/>
    <col min="9" max="16384" width="11" style="6"/>
  </cols>
  <sheetData>
    <row r="1" spans="1:113" s="1" customFormat="1" x14ac:dyDescent="0.2"/>
    <row r="2" spans="1:113" s="1" customFormat="1" ht="15.75" x14ac:dyDescent="0.25">
      <c r="B2" s="2"/>
      <c r="C2" s="12"/>
      <c r="D2" s="12"/>
    </row>
    <row r="3" spans="1:113" s="1" customFormat="1" ht="15.75" x14ac:dyDescent="0.25">
      <c r="B3" s="2"/>
      <c r="C3" s="12"/>
      <c r="D3" s="12"/>
    </row>
    <row r="4" spans="1:113" s="1" customFormat="1" ht="15.75" x14ac:dyDescent="0.25">
      <c r="B4" s="2"/>
      <c r="C4" s="12"/>
      <c r="D4" s="12"/>
    </row>
    <row r="5" spans="1:113" s="1" customFormat="1" x14ac:dyDescent="0.2">
      <c r="DB5" s="13"/>
      <c r="DC5" s="13"/>
      <c r="DD5" s="13"/>
      <c r="DE5" s="13"/>
      <c r="DF5" s="13"/>
      <c r="DG5" s="13"/>
      <c r="DH5" s="13"/>
      <c r="DI5" s="13"/>
    </row>
    <row r="6" spans="1:113" s="1" customFormat="1" x14ac:dyDescent="0.2"/>
    <row r="7" spans="1:113" s="1" customFormat="1" ht="15.75" customHeight="1" x14ac:dyDescent="0.2">
      <c r="A7" s="101" t="str">
        <f>VLOOKUP("&lt;Fachbereich&gt;",Uebersetzungen!$B$3:$E$31,Uebersetzungen!$B$2+1,FALSE)</f>
        <v>Daten &amp; Statistik</v>
      </c>
      <c r="B7" s="101"/>
      <c r="C7" s="101"/>
      <c r="D7" s="101"/>
      <c r="E7" s="14"/>
      <c r="F7" s="14"/>
      <c r="G7" s="14"/>
      <c r="H7" s="14"/>
      <c r="I7" s="14"/>
    </row>
    <row r="8" spans="1:113" s="1" customFormat="1" x14ac:dyDescent="0.2"/>
    <row r="9" spans="1:113" ht="18" x14ac:dyDescent="0.2">
      <c r="A9" s="3" t="str">
        <f>VLOOKUP("&lt;T2Titel&gt;",Uebersetzungen!$B$3:$E$106,Uebersetzungen!$B$2+1,FALSE)</f>
        <v>Doppelbürgerschaft nach soziodemografischen Merkmalen im Kanton Graubünden</v>
      </c>
      <c r="B9" s="4"/>
      <c r="C9" s="5"/>
      <c r="D9" s="5"/>
      <c r="E9" s="5"/>
      <c r="F9" s="5"/>
      <c r="G9" s="5"/>
      <c r="H9" s="5"/>
    </row>
    <row r="10" spans="1:113" x14ac:dyDescent="0.2">
      <c r="A10" s="7" t="str">
        <f>VLOOKUP("&lt;T2UTitel&gt;",Uebersetzungen!$B$3:$E$106,Uebersetzungen!$B$2+1,FALSE)</f>
        <v>Ständige schweizerische Wohnbevölkerung ab 15 Jahren</v>
      </c>
      <c r="B10" s="4"/>
      <c r="C10" s="5"/>
      <c r="D10" s="5"/>
      <c r="E10" s="5"/>
      <c r="F10" s="5"/>
      <c r="G10" s="5"/>
      <c r="H10" s="5"/>
    </row>
    <row r="11" spans="1:113" ht="13.5" thickBot="1" x14ac:dyDescent="0.25">
      <c r="A11" s="7"/>
      <c r="B11" s="4"/>
      <c r="C11" s="5"/>
      <c r="D11" s="5"/>
      <c r="E11" s="5"/>
      <c r="F11" s="5"/>
      <c r="G11" s="5"/>
      <c r="H11" s="5"/>
    </row>
    <row r="12" spans="1:113" ht="18" x14ac:dyDescent="0.25">
      <c r="A12" s="8"/>
      <c r="B12" s="8"/>
      <c r="C12" s="107">
        <v>2024</v>
      </c>
      <c r="D12" s="108"/>
      <c r="E12" s="108"/>
      <c r="F12" s="108"/>
      <c r="G12" s="108"/>
      <c r="H12" s="109"/>
    </row>
    <row r="13" spans="1:113" ht="37.5" customHeight="1" x14ac:dyDescent="0.2">
      <c r="B13" s="102"/>
      <c r="C13" s="104" t="str">
        <f>VLOOKUP("&lt;SpaltenTitel_1&gt;",Uebersetzungen!$B$3:$E$31,Uebersetzungen!$B$2+1,FALSE)</f>
        <v>Total</v>
      </c>
      <c r="D13" s="105"/>
      <c r="E13" s="105" t="str">
        <f>VLOOKUP("&lt;SpaltenTitel_2&gt;",Uebersetzungen!$B$3:$E$31,Uebersetzungen!$B$2+1,FALSE)</f>
        <v>Schweizer mit weiterer Staatsangehörigkeit</v>
      </c>
      <c r="F13" s="105"/>
      <c r="G13" s="105" t="str">
        <f>VLOOKUP("&lt;SpaltenTitel_3&gt;",Uebersetzungen!$B$3:$E$31,Uebersetzungen!$B$2+1,FALSE)</f>
        <v>Schweizer ohne weitere Staatsangehörigkeit</v>
      </c>
      <c r="H13" s="106"/>
    </row>
    <row r="14" spans="1:113" ht="39" thickBot="1" x14ac:dyDescent="0.25">
      <c r="B14" s="103"/>
      <c r="C14" s="69" t="str">
        <f>VLOOKUP("&lt;SpaltenTitel_1.1&gt;",Uebersetzungen!$B$3:$E$31,Uebersetzungen!$B$2+1,FALSE)</f>
        <v>Anzahl Personen</v>
      </c>
      <c r="D14" s="70" t="str">
        <f>VLOOKUP("&lt;SpaltenTitel_1.2&gt;",Uebersetzungen!$B$3:$E$31,Uebersetzungen!$B$2+1,FALSE)</f>
        <v>Vertrauens- intervall: ± (in %)</v>
      </c>
      <c r="E14" s="52" t="str">
        <f>VLOOKUP("&lt;SpaltenTitel_2.1&gt;",Uebersetzungen!$B$3:$E$31,Uebersetzungen!$B$2+1,FALSE)</f>
        <v>Anzahl Personen</v>
      </c>
      <c r="F14" s="70" t="str">
        <f>VLOOKUP("&lt;SpaltenTitel_2.2&gt;",Uebersetzungen!$B$3:$E$31,Uebersetzungen!$B$2+1,FALSE)</f>
        <v>Vertrauens- intervall: ± (in %)</v>
      </c>
      <c r="G14" s="71" t="str">
        <f>VLOOKUP("&lt;SpaltenTitel_3.1&gt;",Uebersetzungen!$B$3:$E$31,Uebersetzungen!$B$2+1,FALSE)</f>
        <v>Anzahl Personen</v>
      </c>
      <c r="H14" s="53" t="str">
        <f>VLOOKUP("&lt;SpaltenTitel_3.2&gt;",Uebersetzungen!$B$3:$E$31,Uebersetzungen!$B$2+1,FALSE)</f>
        <v>Vertrauens- intervall: ± (in %)</v>
      </c>
    </row>
    <row r="15" spans="1:113" ht="14.25" customHeight="1" x14ac:dyDescent="0.2">
      <c r="A15" s="34" t="str">
        <f>VLOOKUP("&lt;T2Zeilentitel_1&gt;",Uebersetzungen!$B$3:$E$98,Uebersetzungen!$B$2+1,FALSE)</f>
        <v>Total</v>
      </c>
      <c r="B15" s="41"/>
      <c r="C15" s="94">
        <v>139479.99999999526</v>
      </c>
      <c r="D15" s="95">
        <v>1.3160876423396135</v>
      </c>
      <c r="E15" s="96">
        <v>16920.820493423431</v>
      </c>
      <c r="F15" s="97">
        <v>8.3241169586250621</v>
      </c>
      <c r="G15" s="96">
        <v>122559.17950657182</v>
      </c>
      <c r="H15" s="98">
        <v>1.7361845988806632</v>
      </c>
    </row>
    <row r="16" spans="1:113" x14ac:dyDescent="0.2">
      <c r="A16" s="35" t="str">
        <f>VLOOKUP("&lt;T2Zeilentitel_2&gt;",Uebersetzungen!$B$3:$E$98,Uebersetzungen!$B$2+1,FALSE)</f>
        <v>Geschlecht</v>
      </c>
      <c r="B16" s="42" t="str">
        <f>VLOOKUP("&lt;T2Zeilentitel_2.1&gt;",Uebersetzungen!$B$3:$E$98,Uebersetzungen!$B$2+1,FALSE)</f>
        <v>Männer</v>
      </c>
      <c r="C16" s="72">
        <v>68444.999999997177</v>
      </c>
      <c r="D16" s="55">
        <v>3.4021758168965337</v>
      </c>
      <c r="E16" s="77">
        <v>8173.666580189074</v>
      </c>
      <c r="F16" s="50">
        <v>12.359668284500852</v>
      </c>
      <c r="G16" s="77">
        <v>60271.333419808099</v>
      </c>
      <c r="H16" s="60">
        <v>3.7646066141975916</v>
      </c>
      <c r="K16" s="11"/>
    </row>
    <row r="17" spans="1:11" x14ac:dyDescent="0.2">
      <c r="A17" s="36"/>
      <c r="B17" s="48" t="str">
        <f>VLOOKUP("&lt;T2Zeilentitel_2.2&gt;",Uebersetzungen!$B$3:$E$98,Uebersetzungen!$B$2+1,FALSE)</f>
        <v>Frauen</v>
      </c>
      <c r="C17" s="72">
        <v>71034.999999998065</v>
      </c>
      <c r="D17" s="55">
        <v>3.2450159214399266</v>
      </c>
      <c r="E17" s="77">
        <v>8747.1539132343551</v>
      </c>
      <c r="F17" s="50">
        <v>11.834699475898674</v>
      </c>
      <c r="G17" s="77">
        <v>62287.846086763711</v>
      </c>
      <c r="H17" s="60">
        <v>3.613975102396719</v>
      </c>
      <c r="K17" s="11"/>
    </row>
    <row r="18" spans="1:11" x14ac:dyDescent="0.2">
      <c r="A18" s="37" t="str">
        <f>VLOOKUP("&lt;T2Zeilentitel_3&gt;",Uebersetzungen!$B$3:$E$98,Uebersetzungen!$B$2+1,FALSE)</f>
        <v>Alter</v>
      </c>
      <c r="B18" s="30" t="str">
        <f>VLOOKUP("&lt;T2Zeilentitel_3.1&gt;",Uebersetzungen!$B$3:$E$98,Uebersetzungen!$B$2+1,FALSE)</f>
        <v>15-19</v>
      </c>
      <c r="C18" s="80">
        <v>7298.9392297397217</v>
      </c>
      <c r="D18" s="81">
        <v>12.889294286367386</v>
      </c>
      <c r="E18" s="91">
        <v>1249.5773685669644</v>
      </c>
      <c r="F18" s="83">
        <v>31.705284516806071</v>
      </c>
      <c r="G18" s="84">
        <v>6049.361861172757</v>
      </c>
      <c r="H18" s="85">
        <v>14.216016786650684</v>
      </c>
      <c r="K18" s="11"/>
    </row>
    <row r="19" spans="1:11" x14ac:dyDescent="0.2">
      <c r="A19" s="38"/>
      <c r="B19" s="43" t="str">
        <f>VLOOKUP("&lt;T2Zeilentitel_3.2&gt;",Uebersetzungen!$B$3:$E$98,Uebersetzungen!$B$2+1,FALSE)</f>
        <v>20-39</v>
      </c>
      <c r="C19" s="73">
        <v>34001.190376892089</v>
      </c>
      <c r="D19" s="55">
        <v>5.7520335980003168</v>
      </c>
      <c r="E19" s="56">
        <v>3986.6496457382341</v>
      </c>
      <c r="F19" s="50">
        <v>18.314484417539305</v>
      </c>
      <c r="G19" s="56">
        <v>30014.540731153858</v>
      </c>
      <c r="H19" s="60">
        <v>6.209155268784615</v>
      </c>
      <c r="K19" s="11"/>
    </row>
    <row r="20" spans="1:11" x14ac:dyDescent="0.2">
      <c r="A20" s="39"/>
      <c r="B20" s="43" t="str">
        <f>VLOOKUP("&lt;T2Zeilentitel_3.3&gt;",Uebersetzungen!$B$3:$E$98,Uebersetzungen!$B$2+1,FALSE)</f>
        <v>40-64</v>
      </c>
      <c r="C20" s="73">
        <v>55679.455525482634</v>
      </c>
      <c r="D20" s="55">
        <v>3.9502341048615541</v>
      </c>
      <c r="E20" s="56">
        <v>8488.8057546811706</v>
      </c>
      <c r="F20" s="50">
        <v>12.066473141045318</v>
      </c>
      <c r="G20" s="56">
        <v>47190.649770801465</v>
      </c>
      <c r="H20" s="60">
        <v>4.4426598563984587</v>
      </c>
      <c r="K20" s="11"/>
    </row>
    <row r="21" spans="1:11" x14ac:dyDescent="0.2">
      <c r="A21" s="39"/>
      <c r="B21" s="43" t="str">
        <f>VLOOKUP("&lt;T2Zeilentitel_3.4&gt;",Uebersetzungen!$B$3:$E$98,Uebersetzungen!$B$2+1,FALSE)</f>
        <v>65-79</v>
      </c>
      <c r="C21" s="73">
        <v>31315.456492677713</v>
      </c>
      <c r="D21" s="55">
        <v>5.6533314733116624</v>
      </c>
      <c r="E21" s="56">
        <v>2758.2069396060679</v>
      </c>
      <c r="F21" s="50">
        <v>20.918050538015578</v>
      </c>
      <c r="G21" s="56">
        <v>28557.249553071644</v>
      </c>
      <c r="H21" s="60">
        <v>5.9844360607479787</v>
      </c>
      <c r="K21" s="11"/>
    </row>
    <row r="22" spans="1:11" x14ac:dyDescent="0.2">
      <c r="A22" s="39"/>
      <c r="B22" s="43" t="str">
        <f>VLOOKUP("&lt;T2Zeilentitel_3.5&gt;",Uebersetzungen!$B$3:$E$98,Uebersetzungen!$B$2+1,FALSE)</f>
        <v>80 und älter</v>
      </c>
      <c r="C22" s="86">
        <v>11184.958375202988</v>
      </c>
      <c r="D22" s="87">
        <v>10.283770498483564</v>
      </c>
      <c r="E22" s="92">
        <v>437.5807848309999</v>
      </c>
      <c r="F22" s="93">
        <v>53.565031893601521</v>
      </c>
      <c r="G22" s="88">
        <v>10747.377590371989</v>
      </c>
      <c r="H22" s="89">
        <v>10.507306336092421</v>
      </c>
    </row>
    <row r="23" spans="1:11" x14ac:dyDescent="0.2">
      <c r="A23" s="35" t="str">
        <f>VLOOKUP("&lt;T2Zeilentitel_4&gt;",Uebersetzungen!$B$3:$E$98,Uebersetzungen!$B$2+1,FALSE)</f>
        <v>Geburtsort</v>
      </c>
      <c r="B23" s="42" t="str">
        <f>VLOOKUP("&lt;T2Zeilentitel_4.1&gt;",Uebersetzungen!$B$3:$E$98,Uebersetzungen!$B$2+1,FALSE)</f>
        <v>In der Schweiz</v>
      </c>
      <c r="C23" s="73">
        <v>125654.35945543805</v>
      </c>
      <c r="D23" s="55">
        <v>1.6619299217558932</v>
      </c>
      <c r="E23" s="56">
        <v>8048.4282075768342</v>
      </c>
      <c r="F23" s="50">
        <v>12.457918459667967</v>
      </c>
      <c r="G23" s="56">
        <v>117605.93124786123</v>
      </c>
      <c r="H23" s="60">
        <v>1.8609034777516809</v>
      </c>
    </row>
    <row r="24" spans="1:11" x14ac:dyDescent="0.2">
      <c r="A24" s="36"/>
      <c r="B24" s="43" t="str">
        <f>VLOOKUP("&lt;T2Zeilentitel_4.2&gt;",Uebersetzungen!$B$3:$E$98,Uebersetzungen!$B$2+1,FALSE)</f>
        <v>Im Ausland</v>
      </c>
      <c r="C24" s="73">
        <v>13825.640544557795</v>
      </c>
      <c r="D24" s="55">
        <v>9.264994538865686</v>
      </c>
      <c r="E24" s="56">
        <v>8872.3922858465958</v>
      </c>
      <c r="F24" s="50">
        <v>11.749604466025808</v>
      </c>
      <c r="G24" s="56">
        <v>4953.2482587111981</v>
      </c>
      <c r="H24" s="60">
        <v>15.905070608846064</v>
      </c>
    </row>
    <row r="25" spans="1:11" x14ac:dyDescent="0.2">
      <c r="A25" s="37" t="str">
        <f>VLOOKUP("&lt;T2Zeilentitel_5&gt;",Uebersetzungen!$B$3:$E$98,Uebersetzungen!$B$2+1,FALSE)</f>
        <v>Einbürgerung</v>
      </c>
      <c r="B25" s="42" t="str">
        <f>VLOOKUP("&lt;T2Zeilentitel_5.1&gt;",Uebersetzungen!$B$3:$E$98,Uebersetzungen!$B$2+1,FALSE)</f>
        <v>Eingebürgert</v>
      </c>
      <c r="C25" s="80">
        <v>15624.638519531945</v>
      </c>
      <c r="D25" s="81">
        <v>8.6568847082596516</v>
      </c>
      <c r="E25" s="84">
        <v>10437.374372690625</v>
      </c>
      <c r="F25" s="90">
        <v>10.766501559218083</v>
      </c>
      <c r="G25" s="84">
        <v>5187.2641468413194</v>
      </c>
      <c r="H25" s="85">
        <v>15.527832879426198</v>
      </c>
    </row>
    <row r="26" spans="1:11" x14ac:dyDescent="0.2">
      <c r="A26" s="39"/>
      <c r="B26" s="43" t="str">
        <f>VLOOKUP("&lt;T2Zeilentitel_5.2&gt;",Uebersetzungen!$B$3:$E$98,Uebersetzungen!$B$2+1,FALSE)</f>
        <v>Nicht eingebürgert</v>
      </c>
      <c r="C26" s="86">
        <v>123855.36148046386</v>
      </c>
      <c r="D26" s="87">
        <v>1.7074251164705105</v>
      </c>
      <c r="E26" s="88">
        <v>6483.4461207328095</v>
      </c>
      <c r="F26" s="68">
        <v>13.99781325032122</v>
      </c>
      <c r="G26" s="88">
        <v>117371.91535973105</v>
      </c>
      <c r="H26" s="89">
        <v>1.8668961816830794</v>
      </c>
    </row>
    <row r="27" spans="1:11" x14ac:dyDescent="0.2">
      <c r="A27" s="35" t="str">
        <f>VLOOKUP("&lt;T2Zeilentitel_6&gt;",Uebersetzungen!$B$3:$E$98,Uebersetzungen!$B$2+1,FALSE)</f>
        <v>Arbeitsmarktstatus</v>
      </c>
      <c r="B27" s="42" t="str">
        <f>VLOOKUP("&lt;T2Zeilentitel_6.1&gt;",Uebersetzungen!$B$3:$E$98,Uebersetzungen!$B$2+1,FALSE)</f>
        <v>Erwerbstätige</v>
      </c>
      <c r="C27" s="73">
        <v>83599.206476964639</v>
      </c>
      <c r="D27" s="55">
        <v>2.8536882538594917</v>
      </c>
      <c r="E27" s="56">
        <v>11255.828298513834</v>
      </c>
      <c r="F27" s="50">
        <v>10.436323755528269</v>
      </c>
      <c r="G27" s="56">
        <v>72343.378178450803</v>
      </c>
      <c r="H27" s="60">
        <v>3.2550550691243902</v>
      </c>
    </row>
    <row r="28" spans="1:11" x14ac:dyDescent="0.2">
      <c r="A28" s="39"/>
      <c r="B28" s="43" t="str">
        <f>VLOOKUP("&lt;T2Zeilentitel_6.2&gt;",Uebersetzungen!$B$3:$E$98,Uebersetzungen!$B$2+1,FALSE)</f>
        <v>Erwerbslose</v>
      </c>
      <c r="C28" s="74">
        <v>1288.5362770672559</v>
      </c>
      <c r="D28" s="78">
        <v>33.014994878066432</v>
      </c>
      <c r="E28" s="56" t="s">
        <v>301</v>
      </c>
      <c r="F28" s="50" t="s">
        <v>301</v>
      </c>
      <c r="G28" s="57">
        <v>1219.5716082520498</v>
      </c>
      <c r="H28" s="79">
        <v>34.026076371629607</v>
      </c>
    </row>
    <row r="29" spans="1:11" x14ac:dyDescent="0.2">
      <c r="A29" s="36"/>
      <c r="B29" s="43" t="str">
        <f>VLOOKUP("&lt;T2Zeilentitel_6.3&gt;",Uebersetzungen!$B$3:$E$98,Uebersetzungen!$B$2+1,FALSE)</f>
        <v>Nichterwerbspersonen</v>
      </c>
      <c r="C29" s="73">
        <v>54592.25724596349</v>
      </c>
      <c r="D29" s="55">
        <v>3.9634241282072504</v>
      </c>
      <c r="E29" s="56">
        <v>5596.0275260943945</v>
      </c>
      <c r="F29" s="50">
        <v>14.868312002328615</v>
      </c>
      <c r="G29" s="56">
        <v>48996.229719869094</v>
      </c>
      <c r="H29" s="60">
        <v>4.2835263175079143</v>
      </c>
    </row>
    <row r="30" spans="1:11" x14ac:dyDescent="0.2">
      <c r="A30" s="37" t="str">
        <f>VLOOKUP("&lt;T2Zeilentitel_7&gt;",Uebersetzungen!$B$3:$E$98,Uebersetzungen!$B$2+1,FALSE)</f>
        <v>Sozioprofessionelle Kategorien</v>
      </c>
      <c r="B30" s="42" t="str">
        <f>VLOOKUP("&lt;T2Zeilentitel_7.1&gt;",Uebersetzungen!$B$3:$E$98,Uebersetzungen!$B$2+1,FALSE)</f>
        <v>Oberstes Management</v>
      </c>
      <c r="C30" s="80">
        <v>2251.1397592155636</v>
      </c>
      <c r="D30" s="81">
        <v>23.517423237046202</v>
      </c>
      <c r="E30" s="82">
        <v>588.57656461433521</v>
      </c>
      <c r="F30" s="83">
        <v>46.973996856636639</v>
      </c>
      <c r="G30" s="84">
        <v>1662.5631946012281</v>
      </c>
      <c r="H30" s="85">
        <v>27.254288505500526</v>
      </c>
    </row>
    <row r="31" spans="1:11" ht="25.5" x14ac:dyDescent="0.2">
      <c r="A31" s="38"/>
      <c r="B31" s="43" t="str">
        <f>VLOOKUP("&lt;T2Zeilentitel_7.2&gt;",Uebersetzungen!$B$3:$E$98,Uebersetzungen!$B$2+1,FALSE)</f>
        <v>Freie und gleichgestellte Berufe</v>
      </c>
      <c r="C31" s="73">
        <v>2376.6282761424463</v>
      </c>
      <c r="D31" s="55">
        <v>22.845872892983593</v>
      </c>
      <c r="E31" s="58">
        <v>446.50311580395538</v>
      </c>
      <c r="F31" s="51">
        <v>53.768070085297978</v>
      </c>
      <c r="G31" s="56">
        <v>1930.1251603384908</v>
      </c>
      <c r="H31" s="60">
        <v>25.300969108103342</v>
      </c>
    </row>
    <row r="32" spans="1:11" x14ac:dyDescent="0.2">
      <c r="A32" s="39"/>
      <c r="B32" s="43" t="str">
        <f>VLOOKUP("&lt;T2Zeilentitel_7.3&gt;",Uebersetzungen!$B$3:$E$98,Uebersetzungen!$B$2+1,FALSE)</f>
        <v>Andere Selbstständige</v>
      </c>
      <c r="C32" s="73">
        <v>11586.394040699946</v>
      </c>
      <c r="D32" s="55">
        <v>10.336665663305769</v>
      </c>
      <c r="E32" s="57">
        <v>1220.0599380424403</v>
      </c>
      <c r="F32" s="51">
        <v>33.172992142439675</v>
      </c>
      <c r="G32" s="56">
        <v>10366.334102657505</v>
      </c>
      <c r="H32" s="60">
        <v>10.955226060400658</v>
      </c>
    </row>
    <row r="33" spans="1:12" ht="25.5" x14ac:dyDescent="0.2">
      <c r="A33" s="39"/>
      <c r="B33" s="43" t="str">
        <f>VLOOKUP("&lt;T2Zeilentitel_7.4&gt;",Uebersetzungen!$B$3:$E$98,Uebersetzungen!$B$2+1,FALSE)</f>
        <v>Akademische Berufe und oberes Kader</v>
      </c>
      <c r="C33" s="73">
        <v>13115.244852983575</v>
      </c>
      <c r="D33" s="55">
        <v>9.4871620406715724</v>
      </c>
      <c r="E33" s="56">
        <v>2119.0288615938507</v>
      </c>
      <c r="F33" s="50">
        <v>24.455885981041845</v>
      </c>
      <c r="G33" s="56">
        <v>10996.215991389723</v>
      </c>
      <c r="H33" s="60">
        <v>10.42819918163573</v>
      </c>
    </row>
    <row r="34" spans="1:12" x14ac:dyDescent="0.2">
      <c r="A34" s="39"/>
      <c r="B34" s="43" t="str">
        <f>VLOOKUP("&lt;T2Zeilentitel_7.5&gt;",Uebersetzungen!$B$3:$E$98,Uebersetzungen!$B$2+1,FALSE)</f>
        <v>Intermediäre Berufe</v>
      </c>
      <c r="C34" s="73">
        <v>23612.815154551943</v>
      </c>
      <c r="D34" s="55">
        <v>6.9385129911252736</v>
      </c>
      <c r="E34" s="56">
        <v>3176.3817308570938</v>
      </c>
      <c r="F34" s="50">
        <v>20.1411556575868</v>
      </c>
      <c r="G34" s="56">
        <v>20436.433423694849</v>
      </c>
      <c r="H34" s="60">
        <v>7.5383238912320474</v>
      </c>
    </row>
    <row r="35" spans="1:12" ht="25.5" x14ac:dyDescent="0.2">
      <c r="A35" s="39"/>
      <c r="B35" s="43" t="str">
        <f>VLOOKUP("&lt;T2Zeilentitel_7.6&gt;",Uebersetzungen!$B$3:$E$98,Uebersetzungen!$B$2+1,FALSE)</f>
        <v>Qualifizierte nichtmanuelle Berufe</v>
      </c>
      <c r="C35" s="73">
        <v>18860.417302641203</v>
      </c>
      <c r="D35" s="55">
        <v>7.8806398960693516</v>
      </c>
      <c r="E35" s="56">
        <v>2122.1024023014156</v>
      </c>
      <c r="F35" s="50">
        <v>24.664051976256392</v>
      </c>
      <c r="G35" s="56">
        <v>16738.314900339788</v>
      </c>
      <c r="H35" s="60">
        <v>8.4257436115269417</v>
      </c>
    </row>
    <row r="36" spans="1:12" x14ac:dyDescent="0.2">
      <c r="A36" s="39"/>
      <c r="B36" s="43" t="str">
        <f>VLOOKUP("&lt;T2Zeilentitel_7.7&gt;",Uebersetzungen!$B$3:$E$98,Uebersetzungen!$B$2+1,FALSE)</f>
        <v>Qualifizierte manuelle Berufe</v>
      </c>
      <c r="C36" s="73">
        <v>6934.4325412564822</v>
      </c>
      <c r="D36" s="55">
        <v>13.877574929953811</v>
      </c>
      <c r="E36" s="58">
        <v>798.76447752770764</v>
      </c>
      <c r="F36" s="51">
        <v>41.404589231709814</v>
      </c>
      <c r="G36" s="56">
        <v>6135.6680637287745</v>
      </c>
      <c r="H36" s="60">
        <v>14.795691689761611</v>
      </c>
    </row>
    <row r="37" spans="1:12" ht="25.5" x14ac:dyDescent="0.2">
      <c r="A37" s="39"/>
      <c r="B37" s="43" t="str">
        <f>VLOOKUP("&lt;T2Zeilentitel_7.8&gt;",Uebersetzungen!$B$3:$E$98,Uebersetzungen!$B$2+1,FALSE)</f>
        <v>Ungelernte Angestellte und Arbeiter</v>
      </c>
      <c r="C37" s="74">
        <v>1729.7392370685782</v>
      </c>
      <c r="D37" s="78">
        <v>27.575669581209823</v>
      </c>
      <c r="E37" s="58">
        <v>418.83998720238924</v>
      </c>
      <c r="F37" s="51">
        <v>55.866534285770342</v>
      </c>
      <c r="G37" s="57">
        <v>1310.8992498661889</v>
      </c>
      <c r="H37" s="79">
        <v>31.783473697370603</v>
      </c>
    </row>
    <row r="38" spans="1:12" ht="25.5" customHeight="1" x14ac:dyDescent="0.2">
      <c r="A38" s="39"/>
      <c r="B38" s="43" t="str">
        <f>VLOOKUP("&lt;T2Zeilentitel_7.9&gt;",Uebersetzungen!$B$3:$E$98,Uebersetzungen!$B$2+1,FALSE)</f>
        <v>Lernende in dualer beruflicher Grundbildung (Lehrlinge)</v>
      </c>
      <c r="C38" s="73">
        <v>2163.7803073221671</v>
      </c>
      <c r="D38" s="55">
        <v>24.25896514390541</v>
      </c>
      <c r="E38" s="58">
        <v>264.18082111951253</v>
      </c>
      <c r="F38" s="51">
        <v>68.293891972458596</v>
      </c>
      <c r="G38" s="56">
        <v>1899.5994862026546</v>
      </c>
      <c r="H38" s="60">
        <v>25.989728135677652</v>
      </c>
    </row>
    <row r="39" spans="1:12" ht="51" x14ac:dyDescent="0.2">
      <c r="A39" s="39"/>
      <c r="B39" s="43" t="str">
        <f>VLOOKUP("&lt;T2Zeilentitel_7.10&gt;",Uebersetzungen!$B$3:$E$98,Uebersetzungen!$B$2+1,FALSE)</f>
        <v>Nicht zuteilbare Erwerbstätige (fehlende oder unklare Basisdaten oder unplausible Kombination)</v>
      </c>
      <c r="C39" s="75">
        <v>968.61500508270137</v>
      </c>
      <c r="D39" s="78">
        <v>37.299767716897684</v>
      </c>
      <c r="E39" s="56" t="s">
        <v>301</v>
      </c>
      <c r="F39" s="50" t="s">
        <v>301</v>
      </c>
      <c r="G39" s="58">
        <v>867.22460563156551</v>
      </c>
      <c r="H39" s="79">
        <v>39.579872696449641</v>
      </c>
    </row>
    <row r="40" spans="1:12" ht="25.5" x14ac:dyDescent="0.2">
      <c r="A40" s="39"/>
      <c r="B40" s="43" t="str">
        <f>VLOOKUP("&lt;T2Zeilentitel_7.11&gt;",Uebersetzungen!$B$3:$E$98,Uebersetzungen!$B$2+1,FALSE)</f>
        <v>Erwerbslose und Nichterwerbspersonen</v>
      </c>
      <c r="C40" s="86">
        <v>55880.793523030719</v>
      </c>
      <c r="D40" s="87">
        <v>3.9026773600970266</v>
      </c>
      <c r="E40" s="88">
        <v>5664.9921949096006</v>
      </c>
      <c r="F40" s="68">
        <v>14.775243570697288</v>
      </c>
      <c r="G40" s="88">
        <v>50215.801328121117</v>
      </c>
      <c r="H40" s="89">
        <v>4.2180623063837066</v>
      </c>
    </row>
    <row r="41" spans="1:12" ht="25.5" x14ac:dyDescent="0.2">
      <c r="A41" s="35" t="str">
        <f>VLOOKUP("&lt;T2Zeilentitel_8&gt;",Uebersetzungen!$B$3:$E$98,Uebersetzungen!$B$2+1,FALSE)</f>
        <v>Höchste abgeschlossene Ausbildung</v>
      </c>
      <c r="B41" s="42" t="str">
        <f>VLOOKUP("&lt;T2Zeilentitel_8.1&gt;",Uebersetzungen!$B$3:$E$98,Uebersetzungen!$B$2+1,FALSE)</f>
        <v>Obligatorische Schule</v>
      </c>
      <c r="C41" s="73">
        <v>21576.658555153273</v>
      </c>
      <c r="D41" s="55">
        <v>7.2057613564040919</v>
      </c>
      <c r="E41" s="56">
        <v>3621.7931714077031</v>
      </c>
      <c r="F41" s="50">
        <v>18.602763980064768</v>
      </c>
      <c r="G41" s="56">
        <v>17954.865383745571</v>
      </c>
      <c r="H41" s="60">
        <v>7.9973847611250601</v>
      </c>
    </row>
    <row r="42" spans="1:12" x14ac:dyDescent="0.2">
      <c r="A42" s="39"/>
      <c r="B42" s="43" t="str">
        <f>VLOOKUP("&lt;T2Zeilentitel_8.2&gt;",Uebersetzungen!$B$3:$E$98,Uebersetzungen!$B$2+1,FALSE)</f>
        <v>Sekundarstufe II</v>
      </c>
      <c r="C42" s="73">
        <v>66908.630131816375</v>
      </c>
      <c r="D42" s="55">
        <v>3.4642573057899688</v>
      </c>
      <c r="E42" s="56">
        <v>6739.52189001644</v>
      </c>
      <c r="F42" s="50">
        <v>13.767455915763705</v>
      </c>
      <c r="G42" s="56">
        <v>60169.108241799935</v>
      </c>
      <c r="H42" s="60">
        <v>3.7628581029279018</v>
      </c>
      <c r="L42" s="11"/>
    </row>
    <row r="43" spans="1:12" ht="13.5" thickBot="1" x14ac:dyDescent="0.25">
      <c r="A43" s="40"/>
      <c r="B43" s="44" t="str">
        <f>VLOOKUP("&lt;T2Zeilentitel_8.3&gt;",Uebersetzungen!$B$3:$E$98,Uebersetzungen!$B$2+1,FALSE)</f>
        <v>Tertiärstufe</v>
      </c>
      <c r="C43" s="76">
        <v>50994.711313025589</v>
      </c>
      <c r="D43" s="64">
        <v>4.2074337304773231</v>
      </c>
      <c r="E43" s="61">
        <v>6559.5054319992942</v>
      </c>
      <c r="F43" s="65">
        <v>13.711910663448228</v>
      </c>
      <c r="G43" s="61">
        <v>44435.205881026297</v>
      </c>
      <c r="H43" s="62">
        <v>4.6318565243429344</v>
      </c>
    </row>
    <row r="44" spans="1:12" x14ac:dyDescent="0.2">
      <c r="A44" s="30"/>
      <c r="B44" s="23"/>
      <c r="C44" s="31"/>
      <c r="D44" s="32"/>
      <c r="E44" s="31"/>
      <c r="F44" s="32"/>
      <c r="G44" s="33"/>
      <c r="H44" s="32"/>
    </row>
    <row r="45" spans="1:12" x14ac:dyDescent="0.2">
      <c r="A45" s="15" t="str">
        <f>VLOOKUP("&lt;Legende_1&gt;",Uebersetzungen!$B$3:$E$52,Uebersetzungen!$B$2+1,FALSE)</f>
        <v>(): Extrapolation aufgrund von 49 oder weniger Beobachtungen. Die Resultate sind mit grosser Vorsicht zu interpretieren.</v>
      </c>
    </row>
    <row r="46" spans="1:12" x14ac:dyDescent="0.2">
      <c r="A46" s="15" t="str">
        <f>VLOOKUP("&lt;Legende_2&gt;",Uebersetzungen!$B$3:$E$52,Uebersetzungen!$B$2+1,FALSE)</f>
        <v>X: Extrapolation aufgrund von 4 oder weniger Beobachtungen. Die Resultate werden aus Gründen des Datenschutzes nicht publiziert.</v>
      </c>
    </row>
    <row r="47" spans="1:12" x14ac:dyDescent="0.2">
      <c r="A47" s="15" t="str">
        <f>VLOOKUP("&lt;Legende_3&gt;",Uebersetzungen!$B$3:$E$52,Uebersetzungen!$B$2+1,FALSE)</f>
        <v>Die Grundgesamtheit der Strukturerhebung enthält alle Personen der ständigen Wohnbevölkerung ab vollendetem 15. Altersjahr, die in Privathaushalten leben.</v>
      </c>
    </row>
    <row r="48" spans="1:12" x14ac:dyDescent="0.2">
      <c r="A48" s="15" t="str">
        <f>VLOOKUP("&lt;Legende_4&gt;",Uebersetzungen!$B$3:$E$52,Uebersetzungen!$B$2+1,FALSE)</f>
        <v>Aus der Grundgesamtheit ausgeschlossen wurden neben den Personen, die in Kollektivhaushalten leben, auch Diplomaten, internationale Funktionäre und deren Angehörige.</v>
      </c>
    </row>
    <row r="49" spans="1:8" x14ac:dyDescent="0.2">
      <c r="A49" s="7"/>
    </row>
    <row r="50" spans="1:8" x14ac:dyDescent="0.2">
      <c r="A50" s="7" t="str">
        <f>VLOOKUP("&lt;Quelle_1&gt;",Uebersetzungen!$B$3:$E$98,Uebersetzungen!$B$2+1,FALSE)</f>
        <v>Quelle: BFS (Strukturerhebung)</v>
      </c>
    </row>
    <row r="51" spans="1:8" x14ac:dyDescent="0.2">
      <c r="A51" s="6" t="str">
        <f>VLOOKUP("&lt;T2Aktualisierung&gt;",Uebersetzungen!$B$3:$E$98,Uebersetzungen!$B$2+1,FALSE)</f>
        <v>Letztmals aktualisiert am: 29.01.2026</v>
      </c>
    </row>
    <row r="52" spans="1:8" x14ac:dyDescent="0.2">
      <c r="B52" s="9"/>
      <c r="F52" s="9"/>
    </row>
    <row r="54" spans="1:8" x14ac:dyDescent="0.2">
      <c r="B54" s="10"/>
      <c r="F54" s="10"/>
    </row>
    <row r="55" spans="1:8" x14ac:dyDescent="0.2">
      <c r="F55" s="9"/>
      <c r="G55" s="9"/>
      <c r="H55" s="9"/>
    </row>
  </sheetData>
  <sheetProtection sheet="1" objects="1" scenarios="1"/>
  <mergeCells count="6">
    <mergeCell ref="A7:D7"/>
    <mergeCell ref="B13:B14"/>
    <mergeCell ref="C13:D13"/>
    <mergeCell ref="E13:F13"/>
    <mergeCell ref="G13:H13"/>
    <mergeCell ref="C12:H12"/>
  </mergeCells>
  <pageMargins left="0.7" right="0.7" top="0.78740157499999996" bottom="0.78740157499999996" header="0.3" footer="0.3"/>
  <pageSetup paperSize="9" orientation="portrait" horizontalDpi="90" verticalDpi="9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485775</xdr:colOff>
                    <xdr:row>1</xdr:row>
                    <xdr:rowOff>142875</xdr:rowOff>
                  </from>
                  <to>
                    <xdr:col>6</xdr:col>
                    <xdr:colOff>209550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485775</xdr:colOff>
                    <xdr:row>2</xdr:row>
                    <xdr:rowOff>133350</xdr:rowOff>
                  </from>
                  <to>
                    <xdr:col>6</xdr:col>
                    <xdr:colOff>571500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485775</xdr:colOff>
                    <xdr:row>3</xdr:row>
                    <xdr:rowOff>95250</xdr:rowOff>
                  </from>
                  <to>
                    <xdr:col>6</xdr:col>
                    <xdr:colOff>209550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7"/>
  <sheetViews>
    <sheetView workbookViewId="0">
      <selection activeCell="H9" sqref="H9"/>
    </sheetView>
  </sheetViews>
  <sheetFormatPr baseColWidth="10" defaultColWidth="11" defaultRowHeight="12.75" x14ac:dyDescent="0.2"/>
  <cols>
    <col min="1" max="1" width="7.5" style="25" bestFit="1" customWidth="1"/>
    <col min="2" max="2" width="15.5" style="25" bestFit="1" customWidth="1"/>
    <col min="3" max="3" width="40.875" style="25" bestFit="1" customWidth="1"/>
    <col min="4" max="4" width="41.625" style="25" bestFit="1" customWidth="1"/>
    <col min="5" max="5" width="41.125" style="25" bestFit="1" customWidth="1"/>
    <col min="6" max="16384" width="11" style="25"/>
  </cols>
  <sheetData>
    <row r="1" spans="1:6" x14ac:dyDescent="0.2">
      <c r="A1" s="19" t="s">
        <v>71</v>
      </c>
      <c r="B1" s="19" t="s">
        <v>72</v>
      </c>
      <c r="C1" s="19" t="s">
        <v>73</v>
      </c>
      <c r="D1" s="19" t="s">
        <v>74</v>
      </c>
      <c r="E1" s="19" t="s">
        <v>75</v>
      </c>
      <c r="F1" s="20"/>
    </row>
    <row r="2" spans="1:6" x14ac:dyDescent="0.2">
      <c r="A2" s="26" t="s">
        <v>76</v>
      </c>
      <c r="B2" s="27">
        <v>1</v>
      </c>
      <c r="C2" s="20"/>
      <c r="D2" s="20"/>
      <c r="E2" s="20"/>
      <c r="F2" s="20"/>
    </row>
    <row r="3" spans="1:6" x14ac:dyDescent="0.2">
      <c r="A3" s="26"/>
      <c r="B3" s="25" t="s">
        <v>78</v>
      </c>
      <c r="C3" s="21" t="s">
        <v>79</v>
      </c>
      <c r="D3" s="21" t="s">
        <v>80</v>
      </c>
      <c r="E3" s="21" t="s">
        <v>81</v>
      </c>
      <c r="F3" s="20"/>
    </row>
    <row r="4" spans="1:6" ht="25.5" x14ac:dyDescent="0.2">
      <c r="A4" s="26" t="s">
        <v>77</v>
      </c>
      <c r="B4" s="22" t="s">
        <v>82</v>
      </c>
      <c r="C4" s="22" t="s">
        <v>292</v>
      </c>
      <c r="D4" s="22" t="s">
        <v>293</v>
      </c>
      <c r="E4" s="22" t="s">
        <v>294</v>
      </c>
      <c r="F4" s="20"/>
    </row>
    <row r="5" spans="1:6" ht="25.5" x14ac:dyDescent="0.2">
      <c r="A5" s="26"/>
      <c r="B5" s="25" t="s">
        <v>99</v>
      </c>
      <c r="C5" s="21" t="s">
        <v>60</v>
      </c>
      <c r="D5" s="21" t="s">
        <v>260</v>
      </c>
      <c r="E5" s="21" t="s">
        <v>201</v>
      </c>
      <c r="F5" s="20"/>
    </row>
    <row r="6" spans="1:6" x14ac:dyDescent="0.2">
      <c r="A6" s="26"/>
      <c r="B6" s="26"/>
      <c r="C6" s="26"/>
      <c r="D6" s="26"/>
      <c r="E6" s="26"/>
      <c r="F6" s="20"/>
    </row>
    <row r="7" spans="1:6" ht="14.25" customHeight="1" x14ac:dyDescent="0.2">
      <c r="A7" s="26" t="s">
        <v>120</v>
      </c>
      <c r="B7" s="25" t="s">
        <v>83</v>
      </c>
      <c r="C7" s="21" t="s">
        <v>0</v>
      </c>
      <c r="D7" s="21" t="s">
        <v>0</v>
      </c>
      <c r="E7" s="21" t="s">
        <v>167</v>
      </c>
      <c r="F7" s="20"/>
    </row>
    <row r="8" spans="1:6" x14ac:dyDescent="0.2">
      <c r="A8" s="26"/>
      <c r="B8" s="25" t="s">
        <v>84</v>
      </c>
      <c r="C8" s="21" t="s">
        <v>1</v>
      </c>
      <c r="D8" s="21" t="s">
        <v>289</v>
      </c>
      <c r="E8" s="21" t="s">
        <v>168</v>
      </c>
      <c r="F8" s="20"/>
    </row>
    <row r="9" spans="1:6" x14ac:dyDescent="0.2">
      <c r="A9" s="26"/>
      <c r="B9" s="25" t="s">
        <v>85</v>
      </c>
      <c r="C9" s="21" t="s">
        <v>2</v>
      </c>
      <c r="D9" s="21" t="s">
        <v>290</v>
      </c>
      <c r="E9" s="21" t="s">
        <v>169</v>
      </c>
      <c r="F9" s="20"/>
    </row>
    <row r="10" spans="1:6" x14ac:dyDescent="0.2">
      <c r="A10" s="26"/>
      <c r="B10" s="26"/>
      <c r="C10" s="26"/>
      <c r="D10" s="26"/>
      <c r="E10" s="26"/>
      <c r="F10" s="26"/>
    </row>
    <row r="11" spans="1:6" x14ac:dyDescent="0.2">
      <c r="A11" s="26"/>
      <c r="B11" s="25" t="s">
        <v>131</v>
      </c>
      <c r="C11" s="21" t="s">
        <v>3</v>
      </c>
      <c r="D11" s="21" t="s">
        <v>288</v>
      </c>
      <c r="E11" s="21" t="s">
        <v>170</v>
      </c>
      <c r="F11" s="20"/>
    </row>
    <row r="12" spans="1:6" x14ac:dyDescent="0.2">
      <c r="A12" s="26"/>
      <c r="B12" s="25" t="s">
        <v>132</v>
      </c>
      <c r="C12" s="21" t="s">
        <v>286</v>
      </c>
      <c r="D12" s="21" t="s">
        <v>287</v>
      </c>
      <c r="E12" s="21" t="s">
        <v>233</v>
      </c>
      <c r="F12" s="20"/>
    </row>
    <row r="13" spans="1:6" x14ac:dyDescent="0.2">
      <c r="A13" s="26"/>
      <c r="B13" s="25" t="s">
        <v>133</v>
      </c>
      <c r="C13" s="21" t="s">
        <v>3</v>
      </c>
      <c r="D13" s="21" t="s">
        <v>288</v>
      </c>
      <c r="E13" s="21" t="s">
        <v>170</v>
      </c>
      <c r="F13" s="20"/>
    </row>
    <row r="14" spans="1:6" x14ac:dyDescent="0.2">
      <c r="A14" s="26"/>
      <c r="B14" s="25" t="s">
        <v>134</v>
      </c>
      <c r="C14" s="21" t="s">
        <v>286</v>
      </c>
      <c r="D14" s="21" t="s">
        <v>287</v>
      </c>
      <c r="E14" s="21" t="s">
        <v>233</v>
      </c>
      <c r="F14" s="20"/>
    </row>
    <row r="15" spans="1:6" x14ac:dyDescent="0.2">
      <c r="A15" s="26"/>
      <c r="B15" s="25" t="s">
        <v>135</v>
      </c>
      <c r="C15" s="21" t="s">
        <v>3</v>
      </c>
      <c r="D15" s="21" t="s">
        <v>288</v>
      </c>
      <c r="E15" s="21" t="s">
        <v>170</v>
      </c>
      <c r="F15" s="20"/>
    </row>
    <row r="16" spans="1:6" x14ac:dyDescent="0.2">
      <c r="A16" s="26"/>
      <c r="B16" s="25" t="s">
        <v>136</v>
      </c>
      <c r="C16" s="21" t="s">
        <v>286</v>
      </c>
      <c r="D16" s="21" t="s">
        <v>287</v>
      </c>
      <c r="E16" s="21" t="s">
        <v>233</v>
      </c>
      <c r="F16" s="20"/>
    </row>
    <row r="17" spans="1:6" x14ac:dyDescent="0.2">
      <c r="A17" s="26"/>
      <c r="B17" s="20"/>
      <c r="C17" s="20"/>
      <c r="D17" s="20"/>
      <c r="E17" s="20"/>
      <c r="F17" s="20"/>
    </row>
    <row r="18" spans="1:6" x14ac:dyDescent="0.2">
      <c r="A18" s="26" t="s">
        <v>77</v>
      </c>
      <c r="B18" s="25" t="s">
        <v>86</v>
      </c>
      <c r="C18" s="21" t="s">
        <v>0</v>
      </c>
      <c r="D18" s="21" t="s">
        <v>0</v>
      </c>
      <c r="E18" s="21" t="s">
        <v>167</v>
      </c>
      <c r="F18" s="20"/>
    </row>
    <row r="19" spans="1:6" x14ac:dyDescent="0.2">
      <c r="A19" s="20"/>
      <c r="B19" s="25" t="s">
        <v>87</v>
      </c>
      <c r="C19" s="21" t="s">
        <v>4</v>
      </c>
      <c r="D19" s="21" t="s">
        <v>241</v>
      </c>
      <c r="E19" s="21" t="s">
        <v>176</v>
      </c>
      <c r="F19" s="20"/>
    </row>
    <row r="20" spans="1:6" x14ac:dyDescent="0.2">
      <c r="A20" s="20"/>
      <c r="B20" s="25" t="s">
        <v>88</v>
      </c>
      <c r="C20" s="21" t="s">
        <v>62</v>
      </c>
      <c r="D20" s="21" t="s">
        <v>177</v>
      </c>
      <c r="E20" s="21" t="s">
        <v>177</v>
      </c>
      <c r="F20" s="20"/>
    </row>
    <row r="21" spans="1:6" x14ac:dyDescent="0.2">
      <c r="A21" s="20"/>
      <c r="B21" s="25" t="s">
        <v>89</v>
      </c>
      <c r="C21" s="21" t="s">
        <v>5</v>
      </c>
      <c r="D21" s="21" t="s">
        <v>178</v>
      </c>
      <c r="E21" s="21" t="s">
        <v>178</v>
      </c>
      <c r="F21" s="20"/>
    </row>
    <row r="22" spans="1:6" x14ac:dyDescent="0.2">
      <c r="A22" s="20"/>
      <c r="B22" s="25" t="s">
        <v>90</v>
      </c>
      <c r="C22" s="21" t="s">
        <v>6</v>
      </c>
      <c r="D22" s="21" t="s">
        <v>6</v>
      </c>
      <c r="E22" s="21" t="s">
        <v>6</v>
      </c>
      <c r="F22" s="20"/>
    </row>
    <row r="23" spans="1:6" x14ac:dyDescent="0.2">
      <c r="A23" s="20"/>
      <c r="B23" s="25" t="s">
        <v>91</v>
      </c>
      <c r="C23" s="21" t="s">
        <v>7</v>
      </c>
      <c r="D23" s="21" t="s">
        <v>234</v>
      </c>
      <c r="E23" s="21" t="s">
        <v>179</v>
      </c>
      <c r="F23" s="20"/>
    </row>
    <row r="24" spans="1:6" x14ac:dyDescent="0.2">
      <c r="A24" s="20"/>
      <c r="B24" s="25" t="s">
        <v>92</v>
      </c>
      <c r="C24" s="21" t="s">
        <v>8</v>
      </c>
      <c r="D24" s="21" t="s">
        <v>240</v>
      </c>
      <c r="E24" s="21" t="s">
        <v>180</v>
      </c>
      <c r="F24" s="20"/>
    </row>
    <row r="25" spans="1:6" x14ac:dyDescent="0.2">
      <c r="A25" s="20"/>
      <c r="B25" s="25" t="s">
        <v>93</v>
      </c>
      <c r="C25" s="21" t="s">
        <v>9</v>
      </c>
      <c r="D25" s="21" t="s">
        <v>239</v>
      </c>
      <c r="E25" s="21" t="s">
        <v>181</v>
      </c>
      <c r="F25" s="20"/>
    </row>
    <row r="26" spans="1:6" x14ac:dyDescent="0.2">
      <c r="A26" s="20"/>
      <c r="B26" s="25" t="s">
        <v>100</v>
      </c>
      <c r="C26" s="21" t="s">
        <v>10</v>
      </c>
      <c r="D26" s="21" t="s">
        <v>237</v>
      </c>
      <c r="E26" s="21" t="s">
        <v>182</v>
      </c>
      <c r="F26" s="20"/>
    </row>
    <row r="27" spans="1:6" x14ac:dyDescent="0.2">
      <c r="A27" s="20"/>
      <c r="B27" s="25" t="s">
        <v>101</v>
      </c>
      <c r="C27" s="21" t="s">
        <v>11</v>
      </c>
      <c r="D27" s="21" t="s">
        <v>11</v>
      </c>
      <c r="E27" s="21" t="s">
        <v>183</v>
      </c>
      <c r="F27" s="20"/>
    </row>
    <row r="28" spans="1:6" x14ac:dyDescent="0.2">
      <c r="A28" s="20"/>
      <c r="B28" s="25" t="s">
        <v>102</v>
      </c>
      <c r="C28" s="21" t="s">
        <v>63</v>
      </c>
      <c r="D28" s="21" t="s">
        <v>236</v>
      </c>
      <c r="E28" s="21" t="s">
        <v>184</v>
      </c>
      <c r="F28" s="20"/>
    </row>
    <row r="29" spans="1:6" x14ac:dyDescent="0.2">
      <c r="A29" s="20"/>
      <c r="B29" s="25" t="s">
        <v>103</v>
      </c>
      <c r="C29" s="21" t="s">
        <v>12</v>
      </c>
      <c r="D29" s="21" t="s">
        <v>235</v>
      </c>
      <c r="E29" s="21" t="s">
        <v>185</v>
      </c>
      <c r="F29" s="20"/>
    </row>
    <row r="30" spans="1:6" x14ac:dyDescent="0.2">
      <c r="A30" s="20"/>
      <c r="B30" s="25" t="s">
        <v>104</v>
      </c>
      <c r="C30" s="21" t="s">
        <v>13</v>
      </c>
      <c r="D30" s="21" t="s">
        <v>242</v>
      </c>
      <c r="E30" s="21" t="s">
        <v>186</v>
      </c>
      <c r="F30" s="20"/>
    </row>
    <row r="31" spans="1:6" x14ac:dyDescent="0.2">
      <c r="A31" s="20"/>
      <c r="B31" s="25" t="s">
        <v>105</v>
      </c>
      <c r="C31" s="21" t="s">
        <v>14</v>
      </c>
      <c r="D31" s="21" t="s">
        <v>243</v>
      </c>
      <c r="E31" s="21" t="s">
        <v>187</v>
      </c>
      <c r="F31" s="20"/>
    </row>
    <row r="32" spans="1:6" x14ac:dyDescent="0.2">
      <c r="A32" s="20"/>
      <c r="B32" s="25" t="s">
        <v>106</v>
      </c>
      <c r="C32" s="21" t="s">
        <v>15</v>
      </c>
      <c r="D32" s="21" t="s">
        <v>238</v>
      </c>
      <c r="E32" s="21" t="s">
        <v>188</v>
      </c>
      <c r="F32" s="20"/>
    </row>
    <row r="33" spans="1:6" x14ac:dyDescent="0.2">
      <c r="A33" s="20"/>
      <c r="B33" s="25" t="s">
        <v>107</v>
      </c>
      <c r="C33" s="21" t="s">
        <v>16</v>
      </c>
      <c r="D33" s="21" t="s">
        <v>244</v>
      </c>
      <c r="E33" s="21" t="s">
        <v>189</v>
      </c>
      <c r="F33" s="20"/>
    </row>
    <row r="34" spans="1:6" x14ac:dyDescent="0.2">
      <c r="A34" s="20"/>
      <c r="B34" s="25" t="s">
        <v>108</v>
      </c>
      <c r="C34" s="21" t="s">
        <v>17</v>
      </c>
      <c r="D34" s="21" t="s">
        <v>245</v>
      </c>
      <c r="E34" s="21" t="s">
        <v>190</v>
      </c>
      <c r="F34" s="20"/>
    </row>
    <row r="35" spans="1:6" x14ac:dyDescent="0.2">
      <c r="A35" s="20"/>
      <c r="B35" s="25" t="s">
        <v>109</v>
      </c>
      <c r="C35" s="21" t="s">
        <v>18</v>
      </c>
      <c r="D35" s="21" t="s">
        <v>246</v>
      </c>
      <c r="E35" s="21" t="s">
        <v>191</v>
      </c>
      <c r="F35" s="20"/>
    </row>
    <row r="36" spans="1:6" x14ac:dyDescent="0.2">
      <c r="A36" s="20"/>
      <c r="B36" s="25" t="s">
        <v>110</v>
      </c>
      <c r="C36" s="21" t="s">
        <v>64</v>
      </c>
      <c r="D36" s="21" t="s">
        <v>250</v>
      </c>
      <c r="E36" s="21" t="s">
        <v>192</v>
      </c>
      <c r="F36" s="20"/>
    </row>
    <row r="37" spans="1:6" x14ac:dyDescent="0.2">
      <c r="A37" s="20"/>
      <c r="B37" s="25" t="s">
        <v>111</v>
      </c>
      <c r="C37" s="21" t="s">
        <v>19</v>
      </c>
      <c r="D37" s="21" t="s">
        <v>193</v>
      </c>
      <c r="E37" s="21" t="s">
        <v>193</v>
      </c>
      <c r="F37" s="20"/>
    </row>
    <row r="38" spans="1:6" x14ac:dyDescent="0.2">
      <c r="A38" s="20"/>
      <c r="B38" s="25" t="s">
        <v>112</v>
      </c>
      <c r="C38" s="21" t="s">
        <v>20</v>
      </c>
      <c r="D38" s="21" t="s">
        <v>194</v>
      </c>
      <c r="E38" s="21" t="s">
        <v>194</v>
      </c>
      <c r="F38" s="20"/>
    </row>
    <row r="39" spans="1:6" x14ac:dyDescent="0.2">
      <c r="A39" s="20"/>
      <c r="B39" s="25" t="s">
        <v>113</v>
      </c>
      <c r="C39" s="21" t="s">
        <v>66</v>
      </c>
      <c r="D39" s="21" t="s">
        <v>66</v>
      </c>
      <c r="E39" s="21" t="s">
        <v>195</v>
      </c>
      <c r="F39" s="20"/>
    </row>
    <row r="40" spans="1:6" x14ac:dyDescent="0.2">
      <c r="A40" s="20"/>
      <c r="B40" s="25" t="s">
        <v>114</v>
      </c>
      <c r="C40" s="21" t="s">
        <v>67</v>
      </c>
      <c r="D40" s="21" t="s">
        <v>249</v>
      </c>
      <c r="E40" s="21" t="s">
        <v>196</v>
      </c>
      <c r="F40" s="20"/>
    </row>
    <row r="41" spans="1:6" x14ac:dyDescent="0.2">
      <c r="A41" s="20"/>
      <c r="B41" s="25" t="s">
        <v>115</v>
      </c>
      <c r="C41" s="21" t="s">
        <v>65</v>
      </c>
      <c r="D41" s="21" t="s">
        <v>248</v>
      </c>
      <c r="E41" s="21" t="s">
        <v>197</v>
      </c>
      <c r="F41" s="20"/>
    </row>
    <row r="42" spans="1:6" x14ac:dyDescent="0.2">
      <c r="A42" s="20"/>
      <c r="B42" s="25" t="s">
        <v>116</v>
      </c>
      <c r="C42" s="21" t="s">
        <v>68</v>
      </c>
      <c r="D42" s="21" t="s">
        <v>198</v>
      </c>
      <c r="E42" s="21" t="s">
        <v>198</v>
      </c>
      <c r="F42" s="20"/>
    </row>
    <row r="43" spans="1:6" x14ac:dyDescent="0.2">
      <c r="A43" s="20"/>
      <c r="B43" s="25" t="s">
        <v>117</v>
      </c>
      <c r="C43" s="21" t="s">
        <v>69</v>
      </c>
      <c r="D43" s="21" t="s">
        <v>247</v>
      </c>
      <c r="E43" s="21" t="s">
        <v>199</v>
      </c>
      <c r="F43" s="20"/>
    </row>
    <row r="44" spans="1:6" x14ac:dyDescent="0.2">
      <c r="A44" s="20"/>
      <c r="B44" s="25" t="s">
        <v>118</v>
      </c>
      <c r="C44" s="21" t="s">
        <v>21</v>
      </c>
      <c r="D44" s="21" t="s">
        <v>200</v>
      </c>
      <c r="E44" s="21" t="s">
        <v>200</v>
      </c>
      <c r="F44" s="20"/>
    </row>
    <row r="45" spans="1:6" x14ac:dyDescent="0.2">
      <c r="A45" s="20"/>
      <c r="B45" s="20"/>
      <c r="C45" s="20"/>
      <c r="D45" s="20"/>
      <c r="E45" s="20"/>
      <c r="F45" s="20"/>
    </row>
    <row r="46" spans="1:6" ht="38.25" x14ac:dyDescent="0.2">
      <c r="A46" s="26"/>
      <c r="B46" s="25" t="s">
        <v>94</v>
      </c>
      <c r="C46" s="21" t="s">
        <v>22</v>
      </c>
      <c r="D46" s="21" t="s">
        <v>282</v>
      </c>
      <c r="E46" s="23" t="s">
        <v>171</v>
      </c>
      <c r="F46" s="20"/>
    </row>
    <row r="47" spans="1:6" ht="38.25" x14ac:dyDescent="0.2">
      <c r="A47" s="20"/>
      <c r="B47" s="25" t="s">
        <v>95</v>
      </c>
      <c r="C47" s="21" t="s">
        <v>23</v>
      </c>
      <c r="D47" s="21" t="s">
        <v>283</v>
      </c>
      <c r="E47" s="23" t="s">
        <v>172</v>
      </c>
      <c r="F47" s="20"/>
    </row>
    <row r="48" spans="1:6" ht="51" x14ac:dyDescent="0.2">
      <c r="A48" s="20"/>
      <c r="B48" s="25" t="s">
        <v>96</v>
      </c>
      <c r="C48" s="21" t="s">
        <v>24</v>
      </c>
      <c r="D48" s="21" t="s">
        <v>284</v>
      </c>
      <c r="E48" s="21" t="s">
        <v>173</v>
      </c>
      <c r="F48" s="20"/>
    </row>
    <row r="49" spans="1:6" ht="51" x14ac:dyDescent="0.2">
      <c r="A49" s="20"/>
      <c r="B49" s="25" t="s">
        <v>97</v>
      </c>
      <c r="C49" s="21" t="s">
        <v>25</v>
      </c>
      <c r="D49" s="21" t="s">
        <v>285</v>
      </c>
      <c r="E49" s="21" t="s">
        <v>174</v>
      </c>
      <c r="F49" s="20"/>
    </row>
    <row r="50" spans="1:6" x14ac:dyDescent="0.2">
      <c r="A50" s="20"/>
      <c r="B50" s="20"/>
      <c r="C50" s="20"/>
      <c r="D50" s="20"/>
      <c r="E50" s="20"/>
      <c r="F50" s="20"/>
    </row>
    <row r="51" spans="1:6" x14ac:dyDescent="0.2">
      <c r="A51" s="20" t="s">
        <v>120</v>
      </c>
      <c r="B51" s="25" t="s">
        <v>119</v>
      </c>
      <c r="C51" s="21" t="s">
        <v>61</v>
      </c>
      <c r="D51" s="21" t="s">
        <v>291</v>
      </c>
      <c r="E51" s="21" t="s">
        <v>175</v>
      </c>
      <c r="F51" s="20"/>
    </row>
    <row r="52" spans="1:6" x14ac:dyDescent="0.2">
      <c r="A52" s="20" t="s">
        <v>77</v>
      </c>
      <c r="B52" s="28" t="s">
        <v>98</v>
      </c>
      <c r="C52" s="24" t="s">
        <v>300</v>
      </c>
      <c r="D52" s="24" t="s">
        <v>299</v>
      </c>
      <c r="E52" s="24" t="s">
        <v>298</v>
      </c>
      <c r="F52" s="20"/>
    </row>
    <row r="53" spans="1:6" x14ac:dyDescent="0.2">
      <c r="A53" s="20"/>
      <c r="B53" s="20"/>
      <c r="C53" s="20"/>
      <c r="D53" s="20"/>
      <c r="E53" s="20"/>
      <c r="F53" s="20"/>
    </row>
    <row r="54" spans="1:6" x14ac:dyDescent="0.2">
      <c r="A54" s="26"/>
      <c r="B54" s="27"/>
      <c r="C54" s="20"/>
      <c r="D54" s="20"/>
      <c r="E54" s="20"/>
      <c r="F54" s="20"/>
    </row>
    <row r="55" spans="1:6" ht="25.5" x14ac:dyDescent="0.2">
      <c r="A55" s="26" t="s">
        <v>121</v>
      </c>
      <c r="B55" s="25" t="s">
        <v>122</v>
      </c>
      <c r="C55" s="25" t="s">
        <v>295</v>
      </c>
      <c r="D55" s="25" t="s">
        <v>296</v>
      </c>
      <c r="E55" s="25" t="s">
        <v>297</v>
      </c>
      <c r="F55" s="20"/>
    </row>
    <row r="56" spans="1:6" ht="25.5" x14ac:dyDescent="0.2">
      <c r="A56" s="26"/>
      <c r="B56" s="25" t="s">
        <v>123</v>
      </c>
      <c r="C56" s="21" t="s">
        <v>60</v>
      </c>
      <c r="D56" s="21" t="s">
        <v>260</v>
      </c>
      <c r="E56" s="21" t="s">
        <v>201</v>
      </c>
      <c r="F56" s="20"/>
    </row>
    <row r="57" spans="1:6" x14ac:dyDescent="0.2">
      <c r="A57" s="26"/>
      <c r="B57" s="20"/>
      <c r="C57" s="20"/>
      <c r="D57" s="20"/>
      <c r="E57" s="20"/>
      <c r="F57" s="20"/>
    </row>
    <row r="58" spans="1:6" x14ac:dyDescent="0.2">
      <c r="A58" s="26" t="s">
        <v>121</v>
      </c>
      <c r="B58" s="25" t="s">
        <v>124</v>
      </c>
      <c r="C58" s="21" t="s">
        <v>0</v>
      </c>
      <c r="D58" s="21" t="s">
        <v>0</v>
      </c>
      <c r="E58" s="21" t="s">
        <v>167</v>
      </c>
      <c r="F58" s="20"/>
    </row>
    <row r="59" spans="1:6" x14ac:dyDescent="0.2">
      <c r="A59" s="20"/>
      <c r="B59" s="25" t="s">
        <v>125</v>
      </c>
      <c r="C59" s="21" t="s">
        <v>26</v>
      </c>
      <c r="D59" s="21" t="s">
        <v>253</v>
      </c>
      <c r="E59" s="21" t="s">
        <v>202</v>
      </c>
      <c r="F59" s="20"/>
    </row>
    <row r="60" spans="1:6" x14ac:dyDescent="0.2">
      <c r="A60" s="20"/>
      <c r="B60" s="25" t="s">
        <v>126</v>
      </c>
      <c r="C60" s="21" t="s">
        <v>29</v>
      </c>
      <c r="D60" s="29" t="s">
        <v>254</v>
      </c>
      <c r="E60" s="21" t="s">
        <v>203</v>
      </c>
      <c r="F60" s="20"/>
    </row>
    <row r="61" spans="1:6" x14ac:dyDescent="0.2">
      <c r="A61" s="20"/>
      <c r="B61" s="25" t="s">
        <v>127</v>
      </c>
      <c r="C61" s="21" t="s">
        <v>54</v>
      </c>
      <c r="D61" s="21" t="s">
        <v>255</v>
      </c>
      <c r="E61" s="21" t="s">
        <v>204</v>
      </c>
      <c r="F61" s="20"/>
    </row>
    <row r="62" spans="1:6" x14ac:dyDescent="0.2">
      <c r="A62" s="20"/>
      <c r="B62" s="25" t="s">
        <v>128</v>
      </c>
      <c r="C62" s="21" t="s">
        <v>57</v>
      </c>
      <c r="D62" s="21" t="s">
        <v>256</v>
      </c>
      <c r="E62" s="21" t="s">
        <v>205</v>
      </c>
      <c r="F62" s="20"/>
    </row>
    <row r="63" spans="1:6" x14ac:dyDescent="0.2">
      <c r="A63" s="20"/>
      <c r="B63" s="25" t="s">
        <v>129</v>
      </c>
      <c r="C63" s="21" t="s">
        <v>30</v>
      </c>
      <c r="D63" s="21" t="s">
        <v>257</v>
      </c>
      <c r="E63" s="21" t="s">
        <v>206</v>
      </c>
      <c r="F63" s="20"/>
    </row>
    <row r="64" spans="1:6" x14ac:dyDescent="0.2">
      <c r="A64" s="20"/>
      <c r="B64" s="25" t="s">
        <v>130</v>
      </c>
      <c r="C64" s="21" t="s">
        <v>34</v>
      </c>
      <c r="D64" s="21" t="s">
        <v>258</v>
      </c>
      <c r="E64" s="21" t="s">
        <v>207</v>
      </c>
      <c r="F64" s="20"/>
    </row>
    <row r="65" spans="1:6" x14ac:dyDescent="0.2">
      <c r="A65" s="20"/>
      <c r="B65" s="25" t="s">
        <v>151</v>
      </c>
      <c r="C65" s="21" t="s">
        <v>46</v>
      </c>
      <c r="D65" s="21" t="s">
        <v>259</v>
      </c>
      <c r="E65" s="21" t="s">
        <v>208</v>
      </c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20"/>
      <c r="B67" s="25" t="s">
        <v>137</v>
      </c>
      <c r="C67" s="21" t="s">
        <v>27</v>
      </c>
      <c r="D67" s="21" t="s">
        <v>251</v>
      </c>
      <c r="E67" s="21" t="s">
        <v>209</v>
      </c>
      <c r="F67" s="20"/>
    </row>
    <row r="68" spans="1:6" x14ac:dyDescent="0.2">
      <c r="A68" s="20"/>
      <c r="B68" s="25" t="s">
        <v>138</v>
      </c>
      <c r="C68" s="21" t="s">
        <v>28</v>
      </c>
      <c r="D68" s="21" t="s">
        <v>252</v>
      </c>
      <c r="E68" s="21" t="s">
        <v>210</v>
      </c>
      <c r="F68" s="20"/>
    </row>
    <row r="69" spans="1:6" x14ac:dyDescent="0.2">
      <c r="A69" s="20"/>
      <c r="B69" s="25" t="s">
        <v>139</v>
      </c>
      <c r="C69" s="21" t="s">
        <v>50</v>
      </c>
      <c r="D69" s="21" t="s">
        <v>50</v>
      </c>
      <c r="E69" s="21" t="s">
        <v>50</v>
      </c>
      <c r="F69" s="20"/>
    </row>
    <row r="70" spans="1:6" x14ac:dyDescent="0.2">
      <c r="A70" s="20"/>
      <c r="B70" s="25" t="s">
        <v>140</v>
      </c>
      <c r="C70" s="21" t="s">
        <v>51</v>
      </c>
      <c r="D70" s="21" t="s">
        <v>51</v>
      </c>
      <c r="E70" s="21" t="s">
        <v>51</v>
      </c>
      <c r="F70" s="20"/>
    </row>
    <row r="71" spans="1:6" x14ac:dyDescent="0.2">
      <c r="A71" s="20"/>
      <c r="B71" s="25" t="s">
        <v>152</v>
      </c>
      <c r="C71" s="21" t="s">
        <v>52</v>
      </c>
      <c r="D71" s="21" t="s">
        <v>52</v>
      </c>
      <c r="E71" s="21" t="s">
        <v>52</v>
      </c>
      <c r="F71" s="20"/>
    </row>
    <row r="72" spans="1:6" x14ac:dyDescent="0.2">
      <c r="A72" s="20"/>
      <c r="B72" s="25" t="s">
        <v>153</v>
      </c>
      <c r="C72" s="21" t="s">
        <v>53</v>
      </c>
      <c r="D72" s="21" t="s">
        <v>53</v>
      </c>
      <c r="E72" s="21" t="s">
        <v>53</v>
      </c>
      <c r="F72" s="20"/>
    </row>
    <row r="73" spans="1:6" x14ac:dyDescent="0.2">
      <c r="A73" s="20"/>
      <c r="B73" s="25" t="s">
        <v>154</v>
      </c>
      <c r="C73" s="21" t="s">
        <v>70</v>
      </c>
      <c r="D73" s="21" t="s">
        <v>261</v>
      </c>
      <c r="E73" s="21" t="s">
        <v>211</v>
      </c>
      <c r="F73" s="20"/>
    </row>
    <row r="74" spans="1:6" x14ac:dyDescent="0.2">
      <c r="A74" s="20"/>
      <c r="B74" s="25" t="s">
        <v>141</v>
      </c>
      <c r="C74" s="21" t="s">
        <v>55</v>
      </c>
      <c r="D74" s="21" t="s">
        <v>262</v>
      </c>
      <c r="E74" s="21" t="s">
        <v>212</v>
      </c>
      <c r="F74" s="20"/>
    </row>
    <row r="75" spans="1:6" x14ac:dyDescent="0.2">
      <c r="A75" s="20"/>
      <c r="B75" s="25" t="s">
        <v>142</v>
      </c>
      <c r="C75" s="21" t="s">
        <v>56</v>
      </c>
      <c r="D75" s="21" t="s">
        <v>263</v>
      </c>
      <c r="E75" s="21" t="s">
        <v>213</v>
      </c>
      <c r="F75" s="20"/>
    </row>
    <row r="76" spans="1:6" x14ac:dyDescent="0.2">
      <c r="A76" s="20"/>
      <c r="B76" s="25" t="s">
        <v>143</v>
      </c>
      <c r="C76" s="21" t="s">
        <v>58</v>
      </c>
      <c r="D76" s="21" t="s">
        <v>281</v>
      </c>
      <c r="E76" s="21" t="s">
        <v>214</v>
      </c>
      <c r="F76" s="20"/>
    </row>
    <row r="77" spans="1:6" x14ac:dyDescent="0.2">
      <c r="A77" s="20"/>
      <c r="B77" s="25" t="s">
        <v>144</v>
      </c>
      <c r="C77" s="21" t="s">
        <v>59</v>
      </c>
      <c r="D77" s="21" t="s">
        <v>280</v>
      </c>
      <c r="E77" s="21" t="s">
        <v>215</v>
      </c>
      <c r="F77" s="20"/>
    </row>
    <row r="78" spans="1:6" x14ac:dyDescent="0.2">
      <c r="A78" s="20"/>
      <c r="B78" s="25" t="s">
        <v>145</v>
      </c>
      <c r="C78" s="21" t="s">
        <v>31</v>
      </c>
      <c r="D78" s="21" t="s">
        <v>279</v>
      </c>
      <c r="E78" s="21" t="s">
        <v>216</v>
      </c>
      <c r="F78" s="20"/>
    </row>
    <row r="79" spans="1:6" x14ac:dyDescent="0.2">
      <c r="A79" s="20"/>
      <c r="B79" s="25" t="s">
        <v>146</v>
      </c>
      <c r="C79" s="21" t="s">
        <v>32</v>
      </c>
      <c r="D79" s="21" t="s">
        <v>278</v>
      </c>
      <c r="E79" s="21" t="s">
        <v>217</v>
      </c>
      <c r="F79" s="20"/>
    </row>
    <row r="80" spans="1:6" x14ac:dyDescent="0.2">
      <c r="A80" s="20"/>
      <c r="B80" s="25" t="s">
        <v>147</v>
      </c>
      <c r="C80" s="21" t="s">
        <v>33</v>
      </c>
      <c r="D80" s="21" t="s">
        <v>278</v>
      </c>
      <c r="E80" s="21" t="s">
        <v>218</v>
      </c>
      <c r="F80" s="20"/>
    </row>
    <row r="81" spans="1:6" x14ac:dyDescent="0.2">
      <c r="A81" s="20"/>
      <c r="B81" s="25" t="s">
        <v>148</v>
      </c>
      <c r="C81" s="21" t="s">
        <v>35</v>
      </c>
      <c r="D81" s="21" t="s">
        <v>277</v>
      </c>
      <c r="E81" s="21" t="s">
        <v>219</v>
      </c>
      <c r="F81" s="20"/>
    </row>
    <row r="82" spans="1:6" x14ac:dyDescent="0.2">
      <c r="A82" s="20"/>
      <c r="B82" s="25" t="s">
        <v>149</v>
      </c>
      <c r="C82" s="21" t="s">
        <v>36</v>
      </c>
      <c r="D82" s="21" t="s">
        <v>264</v>
      </c>
      <c r="E82" s="21" t="s">
        <v>220</v>
      </c>
      <c r="F82" s="20"/>
    </row>
    <row r="83" spans="1:6" x14ac:dyDescent="0.2">
      <c r="A83" s="20"/>
      <c r="B83" s="25" t="s">
        <v>150</v>
      </c>
      <c r="C83" s="21" t="s">
        <v>37</v>
      </c>
      <c r="D83" s="21" t="s">
        <v>265</v>
      </c>
      <c r="E83" s="21" t="s">
        <v>221</v>
      </c>
      <c r="F83" s="20"/>
    </row>
    <row r="84" spans="1:6" x14ac:dyDescent="0.2">
      <c r="A84" s="20"/>
      <c r="B84" s="25" t="s">
        <v>155</v>
      </c>
      <c r="C84" s="21" t="s">
        <v>38</v>
      </c>
      <c r="D84" s="21" t="s">
        <v>266</v>
      </c>
      <c r="E84" s="21" t="s">
        <v>222</v>
      </c>
      <c r="F84" s="20"/>
    </row>
    <row r="85" spans="1:6" x14ac:dyDescent="0.2">
      <c r="A85" s="20"/>
      <c r="B85" s="25" t="s">
        <v>156</v>
      </c>
      <c r="C85" s="21" t="s">
        <v>39</v>
      </c>
      <c r="D85" s="21" t="s">
        <v>267</v>
      </c>
      <c r="E85" s="21" t="s">
        <v>223</v>
      </c>
      <c r="F85" s="20"/>
    </row>
    <row r="86" spans="1:6" x14ac:dyDescent="0.2">
      <c r="A86" s="20"/>
      <c r="B86" s="25" t="s">
        <v>157</v>
      </c>
      <c r="C86" s="21" t="s">
        <v>40</v>
      </c>
      <c r="D86" s="21" t="s">
        <v>268</v>
      </c>
      <c r="E86" s="21" t="s">
        <v>224</v>
      </c>
      <c r="F86" s="20"/>
    </row>
    <row r="87" spans="1:6" x14ac:dyDescent="0.2">
      <c r="A87" s="20"/>
      <c r="B87" s="25" t="s">
        <v>158</v>
      </c>
      <c r="C87" s="21" t="s">
        <v>41</v>
      </c>
      <c r="D87" s="21" t="s">
        <v>269</v>
      </c>
      <c r="E87" s="21" t="s">
        <v>225</v>
      </c>
      <c r="F87" s="20"/>
    </row>
    <row r="88" spans="1:6" x14ac:dyDescent="0.2">
      <c r="A88" s="20"/>
      <c r="B88" s="25" t="s">
        <v>159</v>
      </c>
      <c r="C88" s="21" t="s">
        <v>42</v>
      </c>
      <c r="D88" s="21" t="s">
        <v>270</v>
      </c>
      <c r="E88" s="21" t="s">
        <v>226</v>
      </c>
      <c r="F88" s="20"/>
    </row>
    <row r="89" spans="1:6" ht="25.5" x14ac:dyDescent="0.2">
      <c r="A89" s="20"/>
      <c r="B89" s="25" t="s">
        <v>160</v>
      </c>
      <c r="C89" s="21" t="s">
        <v>43</v>
      </c>
      <c r="D89" s="21" t="s">
        <v>271</v>
      </c>
      <c r="E89" s="21" t="s">
        <v>227</v>
      </c>
      <c r="F89" s="20"/>
    </row>
    <row r="90" spans="1:6" ht="38.25" x14ac:dyDescent="0.2">
      <c r="A90" s="20"/>
      <c r="B90" s="25" t="s">
        <v>161</v>
      </c>
      <c r="C90" s="21" t="s">
        <v>44</v>
      </c>
      <c r="D90" s="21" t="s">
        <v>272</v>
      </c>
      <c r="E90" s="21" t="s">
        <v>228</v>
      </c>
      <c r="F90" s="20"/>
    </row>
    <row r="91" spans="1:6" ht="25.5" x14ac:dyDescent="0.2">
      <c r="A91" s="20"/>
      <c r="B91" s="25" t="s">
        <v>162</v>
      </c>
      <c r="C91" s="21" t="s">
        <v>45</v>
      </c>
      <c r="D91" s="21" t="s">
        <v>273</v>
      </c>
      <c r="E91" s="21" t="s">
        <v>229</v>
      </c>
      <c r="F91" s="20"/>
    </row>
    <row r="92" spans="1:6" x14ac:dyDescent="0.2">
      <c r="A92" s="20"/>
      <c r="B92" s="25" t="s">
        <v>163</v>
      </c>
      <c r="C92" s="21" t="s">
        <v>47</v>
      </c>
      <c r="D92" s="21" t="s">
        <v>274</v>
      </c>
      <c r="E92" s="21" t="s">
        <v>230</v>
      </c>
      <c r="F92" s="20"/>
    </row>
    <row r="93" spans="1:6" x14ac:dyDescent="0.2">
      <c r="A93" s="20"/>
      <c r="B93" s="25" t="s">
        <v>164</v>
      </c>
      <c r="C93" s="21" t="s">
        <v>48</v>
      </c>
      <c r="D93" s="21" t="s">
        <v>275</v>
      </c>
      <c r="E93" s="21" t="s">
        <v>231</v>
      </c>
      <c r="F93" s="20"/>
    </row>
    <row r="94" spans="1:6" x14ac:dyDescent="0.2">
      <c r="A94" s="20"/>
      <c r="B94" s="25" t="s">
        <v>165</v>
      </c>
      <c r="C94" s="21" t="s">
        <v>49</v>
      </c>
      <c r="D94" s="21" t="s">
        <v>276</v>
      </c>
      <c r="E94" s="21" t="s">
        <v>232</v>
      </c>
      <c r="F94" s="20"/>
    </row>
    <row r="95" spans="1:6" x14ac:dyDescent="0.2">
      <c r="A95" s="20"/>
      <c r="B95" s="20"/>
      <c r="C95" s="20"/>
      <c r="D95" s="20"/>
      <c r="E95" s="20"/>
      <c r="F95" s="20"/>
    </row>
    <row r="96" spans="1:6" x14ac:dyDescent="0.2">
      <c r="A96" s="20" t="s">
        <v>121</v>
      </c>
      <c r="B96" s="28" t="s">
        <v>166</v>
      </c>
      <c r="C96" s="24" t="s">
        <v>300</v>
      </c>
      <c r="D96" s="24" t="s">
        <v>299</v>
      </c>
      <c r="E96" s="24" t="s">
        <v>298</v>
      </c>
      <c r="F96" s="20"/>
    </row>
    <row r="97" spans="1:6" x14ac:dyDescent="0.2">
      <c r="A97" s="20"/>
      <c r="B97" s="20"/>
      <c r="C97" s="20"/>
      <c r="D97" s="20"/>
      <c r="E97" s="20"/>
      <c r="F97" s="2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1020</Benutzerdefinierte_x0020_ID>
    <Titel_RM xmlns="9d1f6504-c754-4527-a358-047ce8521f96">Dretg da burgais dubel, Svizra e Grischun, 2024</Titel_RM>
    <Titel_DE xmlns="9d1f6504-c754-4527-a358-047ce8521f96">Doppelbürgerschaften, Schweiz und Graubünden, 2024</Titel_DE>
    <PublishingExpirationDate xmlns="http://schemas.microsoft.com/sharepoint/v3" xsi:nil="true"/>
    <Kategorie xmlns="9d1f6504-c754-4527-a358-047ce8521f96">Migration und Integration</Kategorie>
    <PublishingStartDate xmlns="http://schemas.microsoft.com/sharepoint/v3" xsi:nil="true"/>
    <Titel_IT xmlns="9d1f6504-c754-4527-a358-047ce8521f96">Doppia cittadinanza, in Svizzera e nei Grigioni, 2024</Titel_IT>
  </documentManagement>
</p:properties>
</file>

<file path=customXml/itemProps1.xml><?xml version="1.0" encoding="utf-8"?>
<ds:datastoreItem xmlns:ds="http://schemas.openxmlformats.org/officeDocument/2006/customXml" ds:itemID="{569F2E14-0CE7-43F7-9CFD-C93DFC56AD08}"/>
</file>

<file path=customXml/itemProps2.xml><?xml version="1.0" encoding="utf-8"?>
<ds:datastoreItem xmlns:ds="http://schemas.openxmlformats.org/officeDocument/2006/customXml" ds:itemID="{5B5B965D-EA1C-455C-8868-C0119F14ABA3}"/>
</file>

<file path=customXml/itemProps3.xml><?xml version="1.0" encoding="utf-8"?>
<ds:datastoreItem xmlns:ds="http://schemas.openxmlformats.org/officeDocument/2006/customXml" ds:itemID="{0378A06A-8481-4FD8-87F6-DEA3BE59F11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Schweiz</vt:lpstr>
      <vt:lpstr>Graubünden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Doppelbürgerschaften Schweiz und Graubünden</dc:title>
  <dc:creator>Luzius.Stricker@awt.gr.ch</dc:creator>
  <cp:lastModifiedBy>Monstein Urs (AWT GR)</cp:lastModifiedBy>
  <cp:lastPrinted>2018-12-06T18:35:59Z</cp:lastPrinted>
  <dcterms:created xsi:type="dcterms:W3CDTF">2012-06-17T15:40:31Z</dcterms:created>
  <dcterms:modified xsi:type="dcterms:W3CDTF">2026-01-27T06:55:39Z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2026-01-20T07:58:52Z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4c150bcc-5a44-40ca-9791-3c7ce3ba9d86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